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FRD\Functional Responsibilities\Transparency\Economic Development Projects Tile\MEDC Reports for Update Requests\February 2022\"/>
    </mc:Choice>
  </mc:AlternateContent>
  <xr:revisionPtr revIDLastSave="0" documentId="13_ncr:1_{2A8C370A-CD56-42CB-BD4B-213677D5C830}" xr6:coauthVersionLast="47" xr6:coauthVersionMax="47" xr10:uidLastSave="{00000000-0000-0000-0000-000000000000}"/>
  <bookViews>
    <workbookView xWindow="-120" yWindow="-120" windowWidth="29040" windowHeight="15840" xr2:uid="{F51A4E8F-06D8-4655-B14C-E05C87698AF4}"/>
  </bookViews>
  <sheets>
    <sheet name="TDs wo RR" sheetId="1" r:id="rId1"/>
  </sheets>
  <definedNames>
    <definedName name="_xlnm._FilterDatabase" localSheetId="0" hidden="1">'TDs wo RR'!$A$1:$O$109</definedName>
    <definedName name="_xlnm.Print_Area" localSheetId="0">'TDs wo RR'!$A$1:$L$109</definedName>
    <definedName name="_xlnm.Print_Titles" localSheetId="0">'TDs wo RR'!$1:$1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9" i="1" l="1"/>
  <c r="D106" i="1"/>
  <c r="D105" i="1"/>
  <c r="D103" i="1"/>
  <c r="D102" i="1"/>
  <c r="D101" i="1"/>
  <c r="H94" i="1"/>
  <c r="D94" i="1"/>
  <c r="D93" i="1"/>
  <c r="D90" i="1"/>
  <c r="D89" i="1"/>
  <c r="D88" i="1"/>
  <c r="H87" i="1"/>
  <c r="D87" i="1"/>
  <c r="D85" i="1"/>
  <c r="D84" i="1"/>
  <c r="D83" i="1"/>
  <c r="D79" i="1"/>
  <c r="D73" i="1"/>
  <c r="D72" i="1"/>
  <c r="D70" i="1"/>
  <c r="D69" i="1"/>
  <c r="H68" i="1"/>
  <c r="D68" i="1"/>
  <c r="D67" i="1"/>
  <c r="D66" i="1"/>
  <c r="D63" i="1"/>
  <c r="H62" i="1"/>
  <c r="D62" i="1"/>
  <c r="D58" i="1"/>
  <c r="H56" i="1"/>
  <c r="D56" i="1"/>
  <c r="D55" i="1"/>
  <c r="D54" i="1"/>
  <c r="D48" i="1"/>
  <c r="D46" i="1"/>
  <c r="D45" i="1"/>
  <c r="D43" i="1"/>
  <c r="D42" i="1"/>
  <c r="D40" i="1"/>
  <c r="D38" i="1"/>
  <c r="D36" i="1"/>
  <c r="D31" i="1"/>
  <c r="D30" i="1"/>
  <c r="D28" i="1"/>
  <c r="H19" i="1"/>
  <c r="D19" i="1"/>
  <c r="D17" i="1"/>
  <c r="D15" i="1"/>
  <c r="H13" i="1"/>
  <c r="D13" i="1"/>
  <c r="D10" i="1"/>
  <c r="D7" i="1"/>
  <c r="D5" i="1"/>
  <c r="D4" i="1"/>
</calcChain>
</file>

<file path=xl/sharedStrings.xml><?xml version="1.0" encoding="utf-8"?>
<sst xmlns="http://schemas.openxmlformats.org/spreadsheetml/2006/main" count="770" uniqueCount="206">
  <si>
    <t>Collaborative</t>
  </si>
  <si>
    <t>Local Unit of Government</t>
  </si>
  <si>
    <t>Reported Actual Investment</t>
  </si>
  <si>
    <t>Reported Avg Weekly Wage of Jobs Created</t>
  </si>
  <si>
    <t>% Change in Taxable Value (TV)</t>
  </si>
  <si>
    <t>% Change in SEV</t>
  </si>
  <si>
    <t>First Year Benefits Received</t>
  </si>
  <si>
    <t>American Tooling &amp; Manufacturing Coalition</t>
  </si>
  <si>
    <t>Atlantic Tool, Inc.</t>
  </si>
  <si>
    <t>Township of Clinton</t>
  </si>
  <si>
    <t>Did Not Report - No Reporting Requirements</t>
  </si>
  <si>
    <t xml:space="preserve">Bradley-Thompson Tool Company </t>
  </si>
  <si>
    <t>City of Southfield</t>
  </si>
  <si>
    <t>City of Grandville</t>
  </si>
  <si>
    <t>Linwood Tool Company, Inc.</t>
  </si>
  <si>
    <t>Township of Kawkawlin</t>
  </si>
  <si>
    <t>Maes Tool &amp; Die Company</t>
  </si>
  <si>
    <t>Township of Blackman</t>
  </si>
  <si>
    <t>Township of Orion</t>
  </si>
  <si>
    <t>Did Not Report</t>
  </si>
  <si>
    <t>Shouse Tool Company</t>
  </si>
  <si>
    <t>City of Fenton</t>
  </si>
  <si>
    <t>Automation &amp; Tooling Alliance of North America (ATANA)</t>
  </si>
  <si>
    <t xml:space="preserve">B &amp; R Gear Company </t>
  </si>
  <si>
    <t>Diversified Precision Products</t>
  </si>
  <si>
    <t>Township of Spring Arbor</t>
  </si>
  <si>
    <t>Hogle Sales &amp; Manufacturing, LLC</t>
  </si>
  <si>
    <t>Township of Columbia</t>
  </si>
  <si>
    <t>Lomar Machine &amp; Tool Company</t>
  </si>
  <si>
    <t>Township of Hanover</t>
  </si>
  <si>
    <t>Township of Napoleon</t>
  </si>
  <si>
    <t>NK Designs, Inc.</t>
  </si>
  <si>
    <t>Township of Leoni</t>
  </si>
  <si>
    <t>Northwest Tool &amp; Machine, Inc.</t>
  </si>
  <si>
    <t xml:space="preserve">Orbitform, LLC </t>
  </si>
  <si>
    <t>City of Jackson</t>
  </si>
  <si>
    <t>Wardcraft, Div. of McLaughlin Ward &amp; Co.</t>
  </si>
  <si>
    <t>Berrien Tooling Coalition</t>
  </si>
  <si>
    <t>Township of Lake</t>
  </si>
  <si>
    <t xml:space="preserve">Custom Tool &amp; Die Co. </t>
  </si>
  <si>
    <t>Township of Lincoln</t>
  </si>
  <si>
    <t xml:space="preserve">Griffin Tool, Inc. </t>
  </si>
  <si>
    <t>Village of Stevensville</t>
  </si>
  <si>
    <t>City of Bridgman</t>
  </si>
  <si>
    <t>JR Automation</t>
  </si>
  <si>
    <t>Township of Benton</t>
  </si>
  <si>
    <t>Michigan Mold, Inc.</t>
  </si>
  <si>
    <t>City of Coloma</t>
  </si>
  <si>
    <t>Township of Sodus</t>
  </si>
  <si>
    <t>Standard Tool &amp; Die, Inc.</t>
  </si>
  <si>
    <t>West Michigan Tool &amp; Die, Inc.</t>
  </si>
  <si>
    <t>Central Michigan Collaborative</t>
  </si>
  <si>
    <t>Aggressive Tooling, Inc.</t>
  </si>
  <si>
    <t>City of Greenville</t>
  </si>
  <si>
    <t>Digitrace, Ltd.</t>
  </si>
  <si>
    <t>Township of Leighton</t>
  </si>
  <si>
    <t>D.S. Mold, LLC</t>
  </si>
  <si>
    <t>City of Belding</t>
  </si>
  <si>
    <t>Edmore Tool &amp; Grinding, Inc.</t>
  </si>
  <si>
    <t>Township of Home</t>
  </si>
  <si>
    <t>LeRoy Tool &amp; Die, Inc.</t>
  </si>
  <si>
    <t>Township of LeRoy</t>
  </si>
  <si>
    <t>Steeplechase Tool &amp; Die, Inc.</t>
  </si>
  <si>
    <t>Township of Cato</t>
  </si>
  <si>
    <t>Eastern Michigan Tool &amp; Die Collaborative</t>
  </si>
  <si>
    <t xml:space="preserve">CDM Machine Company, Inc. </t>
  </si>
  <si>
    <t>Township of Redford</t>
  </si>
  <si>
    <t>Contour Tool &amp; Machine, Inc.</t>
  </si>
  <si>
    <t>Lunar Industries, Inc.</t>
  </si>
  <si>
    <t>Omega Plastics, Inc.</t>
  </si>
  <si>
    <t>Township of Grass Lake</t>
  </si>
  <si>
    <t xml:space="preserve">Precision Boring Company </t>
  </si>
  <si>
    <t>RTD Manufacturing, Inc.</t>
  </si>
  <si>
    <t>Talent Industries, Inc.</t>
  </si>
  <si>
    <t>First Choice Machining Solutions</t>
  </si>
  <si>
    <t>Eagle Aluminum Cast Products - Pattern Division</t>
  </si>
  <si>
    <t>Township of Egelston</t>
  </si>
  <si>
    <t>Eagle Aluminum Cast Products - Sand Division</t>
  </si>
  <si>
    <t>City of Muskegon</t>
  </si>
  <si>
    <t xml:space="preserve">Falcon Tool &amp; Die </t>
  </si>
  <si>
    <t>Township of Spring Lake</t>
  </si>
  <si>
    <t>Township of Dalton</t>
  </si>
  <si>
    <t>Reed City Tool, Inc.</t>
  </si>
  <si>
    <t>City of Reed City</t>
  </si>
  <si>
    <t>Westech Corp.</t>
  </si>
  <si>
    <t>Global Tooling Alliance</t>
  </si>
  <si>
    <t>Century Tool &amp; Gage Company, Inc.</t>
  </si>
  <si>
    <t xml:space="preserve">Complete Surface Technologies </t>
  </si>
  <si>
    <t>Falcon Industry, Inc.</t>
  </si>
  <si>
    <t>Township of Bruce/ Township of Washington</t>
  </si>
  <si>
    <t xml:space="preserve">RTS Cutting Tools, Inc. </t>
  </si>
  <si>
    <t>Charter Township of Clinton</t>
  </si>
  <si>
    <t>Saginaw Machine Systems, Inc.</t>
  </si>
  <si>
    <t>City of Saginaw</t>
  </si>
  <si>
    <t>Top Craft Tool, Inc.</t>
  </si>
  <si>
    <t>Wright-K Technology, Inc.</t>
  </si>
  <si>
    <t>Michigan Adaptive Coalition</t>
  </si>
  <si>
    <t>City of Burton</t>
  </si>
  <si>
    <t>Michigan Coast to Coast Tool &amp; Die Collaborative</t>
  </si>
  <si>
    <t xml:space="preserve">Tranor Industries, L.L.C. </t>
  </si>
  <si>
    <t>City of Detroit</t>
  </si>
  <si>
    <t>Michigan International Tooling Alliance</t>
  </si>
  <si>
    <t>Centerless Rebuilders, Inc.</t>
  </si>
  <si>
    <t>Village of New Haven</t>
  </si>
  <si>
    <t>Cole's Machine, Inc.</t>
  </si>
  <si>
    <t>City of Davison</t>
  </si>
  <si>
    <t xml:space="preserve">Innovative Mold Inc. </t>
  </si>
  <si>
    <t>Township of Washington</t>
  </si>
  <si>
    <t>Michigan Tooling Group</t>
  </si>
  <si>
    <t>Township of Byron</t>
  </si>
  <si>
    <t>Township of Sparta</t>
  </si>
  <si>
    <t>Township of Pine River</t>
  </si>
  <si>
    <t xml:space="preserve">City of Rockford </t>
  </si>
  <si>
    <t>Township of Alpine</t>
  </si>
  <si>
    <t>Custom Tool and Die Service, Inc.</t>
  </si>
  <si>
    <t>City of Hudsonville</t>
  </si>
  <si>
    <t>Momentum Industries, Inc.</t>
  </si>
  <si>
    <t>City of St. Louis</t>
  </si>
  <si>
    <t>City of Walker</t>
  </si>
  <si>
    <t>Muskegon Tooling Alliance</t>
  </si>
  <si>
    <t>Aero Foil International, Inc.</t>
  </si>
  <si>
    <t>Northwest Michigan Tooling Coalition</t>
  </si>
  <si>
    <t>Tool North, Inc.</t>
  </si>
  <si>
    <t>City of Traverse City</t>
  </si>
  <si>
    <t>Southwest Michigan Tooling Collaborative</t>
  </si>
  <si>
    <t>Township of Cooper</t>
  </si>
  <si>
    <t>Dura Mold, Inc.</t>
  </si>
  <si>
    <t>Jirgens Modern Tool Corp.</t>
  </si>
  <si>
    <t>City of Kalamazoo</t>
  </si>
  <si>
    <t>Township of Alamo</t>
  </si>
  <si>
    <t>Johnson Precision Mold &amp; Eng., Inc.</t>
  </si>
  <si>
    <t>City of Sturgis</t>
  </si>
  <si>
    <t>LeVannes, Inc.</t>
  </si>
  <si>
    <t>City of Portage</t>
  </si>
  <si>
    <t>Liberty Molds, Inc.</t>
  </si>
  <si>
    <t>Maddox Industries, Inc.</t>
  </si>
  <si>
    <t>Township of Bronson</t>
  </si>
  <si>
    <t>City of Plainwell</t>
  </si>
  <si>
    <t>Strategic Tooling Solutions</t>
  </si>
  <si>
    <t>A &amp; O Mold and Engineering, Inc.</t>
  </si>
  <si>
    <t>Village of Vicksburg</t>
  </si>
  <si>
    <t>City of Holland</t>
  </si>
  <si>
    <t>Concept Molds, Inc.</t>
  </si>
  <si>
    <t>Township of Schoolcraft</t>
  </si>
  <si>
    <t>M &amp; M Polishing, Inc.</t>
  </si>
  <si>
    <t>Michigan Tool Works</t>
  </si>
  <si>
    <t>Pyper Tool and Engineering, Inc.</t>
  </si>
  <si>
    <t>Walker Tool and Die, Inc.</t>
  </si>
  <si>
    <t>Third Coast Tooling Alliance</t>
  </si>
  <si>
    <t>City of Flint</t>
  </si>
  <si>
    <t>Tool Makers Alliance</t>
  </si>
  <si>
    <t>Apollo Tool and Engineering</t>
  </si>
  <si>
    <t>True Tool CNC Regrinding &amp; Mfg., Inc.</t>
  </si>
  <si>
    <t>City of Warren</t>
  </si>
  <si>
    <t>Tooling Advantage Group</t>
  </si>
  <si>
    <t>Class-A-Tool &amp; Machine, LLC</t>
  </si>
  <si>
    <t>Freedom Tool &amp; Mfg. Co.</t>
  </si>
  <si>
    <t>United Tooling Coalition</t>
  </si>
  <si>
    <t>Custom Design, Inc.</t>
  </si>
  <si>
    <t>West Coast Tooling Coalition</t>
  </si>
  <si>
    <t>Artiflex Manufacturing, LLC (formerly ITS Manufacturing Solutions, LLC)</t>
  </si>
  <si>
    <t>Usher Tool &amp; Die, Inc.</t>
  </si>
  <si>
    <t>Township of Dorr</t>
  </si>
  <si>
    <t>Wolverine Special Tool, Inc.</t>
  </si>
  <si>
    <t>Whitehall Township Tooling Coalition</t>
  </si>
  <si>
    <t>Company</t>
  </si>
  <si>
    <t>Reported Current Jobs</t>
  </si>
  <si>
    <t>Reported Jobs Transferred to Zone</t>
  </si>
  <si>
    <t>Reported Baseline Jobs at Designation</t>
  </si>
  <si>
    <t>Reported Actual Job Creation</t>
  </si>
  <si>
    <t>Deppe Mold &amp; Tooling, Inc.</t>
  </si>
  <si>
    <t>MPD Welding, Inc.</t>
  </si>
  <si>
    <t>Marathon Weld Group, LLC</t>
  </si>
  <si>
    <t>Accu Die &amp; Mold, Inc.</t>
  </si>
  <si>
    <t>Hanson Systems, LLC dba Eagle Technologies Group</t>
  </si>
  <si>
    <t>Maximum Mold</t>
  </si>
  <si>
    <t>Shoreline Mold &amp; Engineering, LLC</t>
  </si>
  <si>
    <t>PDF Manufacturing, Inc.</t>
  </si>
  <si>
    <t>ITT Gage, Inc.</t>
  </si>
  <si>
    <t>Muskegon Tool Industries, Inc.</t>
  </si>
  <si>
    <t>RCM Design and Build Services</t>
  </si>
  <si>
    <t>Schmald Tool &amp; Die, Inc.</t>
  </si>
  <si>
    <t>Diamond Die &amp; Mold Company</t>
  </si>
  <si>
    <t>Fullerton Tool Company, Inc.</t>
  </si>
  <si>
    <t>Alto Precision, Inc.</t>
  </si>
  <si>
    <t>Bessey Tool &amp; Die, Inc.</t>
  </si>
  <si>
    <t>Brink's Machine Company, Inc.</t>
  </si>
  <si>
    <t>Byrne Tool &amp; Die, Inc.</t>
  </si>
  <si>
    <t>CG Automation &amp; Fixture, Inc.</t>
  </si>
  <si>
    <t>Digital Tool &amp; Die, Inc.</t>
  </si>
  <si>
    <t>Legacy Precision Molds, Inc.</t>
  </si>
  <si>
    <t>Precision Wire EDM Service, Inc.</t>
  </si>
  <si>
    <t>Allynn Corporation</t>
  </si>
  <si>
    <t>J.K. Machining</t>
  </si>
  <si>
    <t>Mayer Tool &amp; Engineering, Inc.</t>
  </si>
  <si>
    <t>Travis Creek Tooling, Inc.</t>
  </si>
  <si>
    <t>BuhlerPrince, Inc.</t>
  </si>
  <si>
    <t>Commercial Tool and Die, Inc.</t>
  </si>
  <si>
    <t>International Mold Corporation</t>
  </si>
  <si>
    <t>Precision Industries, Inc.</t>
  </si>
  <si>
    <t>Evans Tool and Engineering</t>
  </si>
  <si>
    <t>Accurate Regrinding Service</t>
  </si>
  <si>
    <t>Unique Model, Inc.</t>
  </si>
  <si>
    <t>West Michigan Precision Machining, Inc.</t>
  </si>
  <si>
    <t>Williams Tooling &amp; Mfg., Inc.</t>
  </si>
  <si>
    <t xml:space="preserve">General Die &amp; Engineering, Inc.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</si>
</sst>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16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6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8" fontId="4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dc.my.salesforce.com/0016000000ZLRP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7783-FD5D-44DA-8C86-A9A68BE96A73}">
  <sheetPr>
    <tabColor rgb="FF00B050"/>
    <pageSetUpPr fitToPage="1"/>
  </sheetPr>
  <dimension ref="A1:L110"/>
  <sheetViews>
    <sheetView showGridLines="0" tabSelected="1" zoomScale="80" zoomScaleNormal="80" zoomScaleSheetLayoutView="70"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53.140625" style="14" bestFit="1" customWidth="1"/>
    <col min="2" max="2" width="41.140625" style="5" bestFit="1" customWidth="1"/>
    <col min="3" max="3" width="24.140625" style="1" bestFit="1" customWidth="1"/>
    <col min="4" max="4" width="23.140625" style="6" bestFit="1" customWidth="1"/>
    <col min="5" max="6" width="23.140625" style="7" bestFit="1" customWidth="1"/>
    <col min="7" max="7" width="24.140625" style="7" customWidth="1"/>
    <col min="8" max="8" width="23.140625" style="7" bestFit="1" customWidth="1"/>
    <col min="9" max="9" width="23.140625" style="8" bestFit="1" customWidth="1"/>
    <col min="10" max="11" width="23.140625" style="9" bestFit="1" customWidth="1"/>
    <col min="12" max="12" width="17.42578125" style="10" bestFit="1" customWidth="1"/>
    <col min="13" max="16384" width="9.140625" style="1"/>
  </cols>
  <sheetData>
    <row r="1" spans="1:12" ht="30" x14ac:dyDescent="0.2">
      <c r="A1" s="15" t="s">
        <v>0</v>
      </c>
      <c r="B1" s="16" t="s">
        <v>165</v>
      </c>
      <c r="C1" s="16" t="s">
        <v>1</v>
      </c>
      <c r="D1" s="17" t="s">
        <v>2</v>
      </c>
      <c r="E1" s="18" t="s">
        <v>166</v>
      </c>
      <c r="F1" s="18" t="s">
        <v>167</v>
      </c>
      <c r="G1" s="18" t="s">
        <v>168</v>
      </c>
      <c r="H1" s="18" t="s">
        <v>169</v>
      </c>
      <c r="I1" s="15" t="s">
        <v>3</v>
      </c>
      <c r="J1" s="19" t="s">
        <v>4</v>
      </c>
      <c r="K1" s="19" t="s">
        <v>5</v>
      </c>
      <c r="L1" s="20" t="s">
        <v>6</v>
      </c>
    </row>
    <row r="2" spans="1:12" ht="30" x14ac:dyDescent="0.2">
      <c r="A2" s="21" t="s">
        <v>7</v>
      </c>
      <c r="B2" s="2" t="s">
        <v>8</v>
      </c>
      <c r="C2" s="21" t="s">
        <v>9</v>
      </c>
      <c r="D2" s="25" t="s">
        <v>10</v>
      </c>
      <c r="E2" s="25" t="s">
        <v>10</v>
      </c>
      <c r="F2" s="25" t="s">
        <v>10</v>
      </c>
      <c r="G2" s="25" t="s">
        <v>10</v>
      </c>
      <c r="H2" s="25" t="s">
        <v>10</v>
      </c>
      <c r="I2" s="25" t="s">
        <v>10</v>
      </c>
      <c r="J2" s="25" t="s">
        <v>10</v>
      </c>
      <c r="K2" s="25" t="s">
        <v>10</v>
      </c>
      <c r="L2" s="22">
        <v>39814</v>
      </c>
    </row>
    <row r="3" spans="1:12" ht="30" x14ac:dyDescent="0.2">
      <c r="A3" s="21" t="s">
        <v>7</v>
      </c>
      <c r="B3" s="2" t="s">
        <v>11</v>
      </c>
      <c r="C3" s="21" t="s">
        <v>12</v>
      </c>
      <c r="D3" s="25" t="s">
        <v>10</v>
      </c>
      <c r="E3" s="25" t="s">
        <v>10</v>
      </c>
      <c r="F3" s="25" t="s">
        <v>10</v>
      </c>
      <c r="G3" s="25" t="s">
        <v>10</v>
      </c>
      <c r="H3" s="25" t="s">
        <v>10</v>
      </c>
      <c r="I3" s="25" t="s">
        <v>10</v>
      </c>
      <c r="J3" s="25" t="s">
        <v>10</v>
      </c>
      <c r="K3" s="25" t="s">
        <v>10</v>
      </c>
      <c r="L3" s="22">
        <v>39814</v>
      </c>
    </row>
    <row r="4" spans="1:12" ht="15" x14ac:dyDescent="0.2">
      <c r="A4" s="21" t="s">
        <v>7</v>
      </c>
      <c r="B4" s="2" t="s">
        <v>170</v>
      </c>
      <c r="C4" s="21" t="s">
        <v>13</v>
      </c>
      <c r="D4" s="26">
        <f>SUM(2331432+378630.73+686657.79+28310+92434)</f>
        <v>3517464.52</v>
      </c>
      <c r="E4" s="3">
        <v>19</v>
      </c>
      <c r="F4" s="3">
        <v>0</v>
      </c>
      <c r="G4" s="3">
        <v>13</v>
      </c>
      <c r="H4" s="3">
        <v>6</v>
      </c>
      <c r="I4" s="11">
        <v>771</v>
      </c>
      <c r="J4" s="3">
        <v>-56.15</v>
      </c>
      <c r="K4" s="3">
        <v>-50.48</v>
      </c>
      <c r="L4" s="22">
        <v>39814</v>
      </c>
    </row>
    <row r="5" spans="1:12" ht="15" x14ac:dyDescent="0.2">
      <c r="A5" s="21" t="s">
        <v>7</v>
      </c>
      <c r="B5" s="2" t="s">
        <v>14</v>
      </c>
      <c r="C5" s="21" t="s">
        <v>15</v>
      </c>
      <c r="D5" s="26">
        <f>SUM(570415+79805+45352+95000)</f>
        <v>790572</v>
      </c>
      <c r="E5" s="3">
        <v>8</v>
      </c>
      <c r="F5" s="3">
        <v>0</v>
      </c>
      <c r="G5" s="3">
        <v>15</v>
      </c>
      <c r="H5" s="3">
        <v>-7</v>
      </c>
      <c r="I5" s="4">
        <v>540</v>
      </c>
      <c r="J5" s="3">
        <v>-41.37</v>
      </c>
      <c r="K5" s="3">
        <v>-43.12</v>
      </c>
      <c r="L5" s="22">
        <v>39814</v>
      </c>
    </row>
    <row r="6" spans="1:12" ht="30" x14ac:dyDescent="0.2">
      <c r="A6" s="21" t="s">
        <v>7</v>
      </c>
      <c r="B6" s="2" t="s">
        <v>16</v>
      </c>
      <c r="C6" s="21" t="s">
        <v>17</v>
      </c>
      <c r="D6" s="25" t="s">
        <v>10</v>
      </c>
      <c r="E6" s="25" t="s">
        <v>10</v>
      </c>
      <c r="F6" s="25" t="s">
        <v>10</v>
      </c>
      <c r="G6" s="25" t="s">
        <v>10</v>
      </c>
      <c r="H6" s="25" t="s">
        <v>10</v>
      </c>
      <c r="I6" s="25" t="s">
        <v>10</v>
      </c>
      <c r="J6" s="25" t="s">
        <v>10</v>
      </c>
      <c r="K6" s="25" t="s">
        <v>10</v>
      </c>
      <c r="L6" s="22">
        <v>39814</v>
      </c>
    </row>
    <row r="7" spans="1:12" ht="15" x14ac:dyDescent="0.25">
      <c r="A7" s="21" t="s">
        <v>7</v>
      </c>
      <c r="B7" s="2" t="s">
        <v>171</v>
      </c>
      <c r="C7" s="21" t="s">
        <v>18</v>
      </c>
      <c r="D7" s="26">
        <f>SUM(689628+70447.07+12965+3275+8625)</f>
        <v>784940.07000000007</v>
      </c>
      <c r="E7" s="3">
        <v>18</v>
      </c>
      <c r="F7" s="3">
        <v>0</v>
      </c>
      <c r="G7" s="3">
        <v>29</v>
      </c>
      <c r="H7" s="3">
        <v>-11</v>
      </c>
      <c r="I7" s="4" t="s">
        <v>19</v>
      </c>
      <c r="J7" s="12">
        <v>-45.05</v>
      </c>
      <c r="K7" s="12">
        <v>-43.77</v>
      </c>
      <c r="L7" s="22">
        <v>39814</v>
      </c>
    </row>
    <row r="8" spans="1:12" ht="30" x14ac:dyDescent="0.2">
      <c r="A8" s="21" t="s">
        <v>7</v>
      </c>
      <c r="B8" s="2" t="s">
        <v>20</v>
      </c>
      <c r="C8" s="21" t="s">
        <v>21</v>
      </c>
      <c r="D8" s="25" t="s">
        <v>10</v>
      </c>
      <c r="E8" s="25" t="s">
        <v>10</v>
      </c>
      <c r="F8" s="25" t="s">
        <v>10</v>
      </c>
      <c r="G8" s="25" t="s">
        <v>10</v>
      </c>
      <c r="H8" s="25" t="s">
        <v>10</v>
      </c>
      <c r="I8" s="25" t="s">
        <v>10</v>
      </c>
      <c r="J8" s="25" t="s">
        <v>10</v>
      </c>
      <c r="K8" s="25" t="s">
        <v>10</v>
      </c>
      <c r="L8" s="22">
        <v>39814</v>
      </c>
    </row>
    <row r="9" spans="1:12" ht="30" x14ac:dyDescent="0.2">
      <c r="A9" s="21" t="s">
        <v>22</v>
      </c>
      <c r="B9" s="2" t="s">
        <v>23</v>
      </c>
      <c r="C9" s="21" t="s">
        <v>17</v>
      </c>
      <c r="D9" s="25" t="s">
        <v>10</v>
      </c>
      <c r="E9" s="25" t="s">
        <v>10</v>
      </c>
      <c r="F9" s="25" t="s">
        <v>10</v>
      </c>
      <c r="G9" s="25" t="s">
        <v>10</v>
      </c>
      <c r="H9" s="25" t="s">
        <v>10</v>
      </c>
      <c r="I9" s="25" t="s">
        <v>10</v>
      </c>
      <c r="J9" s="25" t="s">
        <v>10</v>
      </c>
      <c r="K9" s="25" t="s">
        <v>10</v>
      </c>
      <c r="L9" s="22">
        <v>38718</v>
      </c>
    </row>
    <row r="10" spans="1:12" ht="15" x14ac:dyDescent="0.2">
      <c r="A10" s="21" t="s">
        <v>22</v>
      </c>
      <c r="B10" s="2" t="s">
        <v>24</v>
      </c>
      <c r="C10" s="21" t="s">
        <v>25</v>
      </c>
      <c r="D10" s="4">
        <f>SUM(4389475+425478+480255)</f>
        <v>5295208</v>
      </c>
      <c r="E10" s="3">
        <v>27</v>
      </c>
      <c r="F10" s="3">
        <v>0</v>
      </c>
      <c r="G10" s="3">
        <v>27</v>
      </c>
      <c r="H10" s="3">
        <v>0</v>
      </c>
      <c r="I10" s="11">
        <v>967</v>
      </c>
      <c r="J10" s="3">
        <v>-74.38</v>
      </c>
      <c r="K10" s="3">
        <v>-73.95</v>
      </c>
      <c r="L10" s="22">
        <v>38718</v>
      </c>
    </row>
    <row r="11" spans="1:12" ht="30" x14ac:dyDescent="0.2">
      <c r="A11" s="21" t="s">
        <v>22</v>
      </c>
      <c r="B11" s="2" t="s">
        <v>26</v>
      </c>
      <c r="C11" s="21" t="s">
        <v>27</v>
      </c>
      <c r="D11" s="25" t="s">
        <v>10</v>
      </c>
      <c r="E11" s="25" t="s">
        <v>10</v>
      </c>
      <c r="F11" s="25" t="s">
        <v>10</v>
      </c>
      <c r="G11" s="25" t="s">
        <v>10</v>
      </c>
      <c r="H11" s="25" t="s">
        <v>10</v>
      </c>
      <c r="I11" s="25" t="s">
        <v>10</v>
      </c>
      <c r="J11" s="25" t="s">
        <v>10</v>
      </c>
      <c r="K11" s="25" t="s">
        <v>10</v>
      </c>
      <c r="L11" s="22">
        <v>38718</v>
      </c>
    </row>
    <row r="12" spans="1:12" ht="30" x14ac:dyDescent="0.2">
      <c r="A12" s="21" t="s">
        <v>22</v>
      </c>
      <c r="B12" s="2" t="s">
        <v>28</v>
      </c>
      <c r="C12" s="21" t="s">
        <v>29</v>
      </c>
      <c r="D12" s="25" t="s">
        <v>10</v>
      </c>
      <c r="E12" s="25" t="s">
        <v>10</v>
      </c>
      <c r="F12" s="25" t="s">
        <v>10</v>
      </c>
      <c r="G12" s="25" t="s">
        <v>10</v>
      </c>
      <c r="H12" s="25" t="s">
        <v>10</v>
      </c>
      <c r="I12" s="25" t="s">
        <v>10</v>
      </c>
      <c r="J12" s="25" t="s">
        <v>10</v>
      </c>
      <c r="K12" s="25" t="s">
        <v>10</v>
      </c>
      <c r="L12" s="22">
        <v>40179</v>
      </c>
    </row>
    <row r="13" spans="1:12" ht="15" x14ac:dyDescent="0.2">
      <c r="A13" s="21" t="s">
        <v>22</v>
      </c>
      <c r="B13" s="2" t="s">
        <v>172</v>
      </c>
      <c r="C13" s="21" t="s">
        <v>30</v>
      </c>
      <c r="D13" s="4">
        <f>SUM(4164353.93+5483.83+281274.3+22552.75+436031.85+21529.85+966248.46)</f>
        <v>5897474.9699999997</v>
      </c>
      <c r="E13" s="3">
        <v>69</v>
      </c>
      <c r="F13" s="3">
        <v>0</v>
      </c>
      <c r="G13" s="3">
        <v>16</v>
      </c>
      <c r="H13" s="3">
        <f>E13-G13</f>
        <v>53</v>
      </c>
      <c r="I13" s="4">
        <v>786</v>
      </c>
      <c r="J13" s="3">
        <v>65.739999999999995</v>
      </c>
      <c r="K13" s="3">
        <v>59.22</v>
      </c>
      <c r="L13" s="22">
        <v>38718</v>
      </c>
    </row>
    <row r="14" spans="1:12" ht="30" x14ac:dyDescent="0.2">
      <c r="A14" s="21" t="s">
        <v>22</v>
      </c>
      <c r="B14" s="2" t="s">
        <v>31</v>
      </c>
      <c r="C14" s="21" t="s">
        <v>32</v>
      </c>
      <c r="D14" s="25" t="s">
        <v>10</v>
      </c>
      <c r="E14" s="25" t="s">
        <v>10</v>
      </c>
      <c r="F14" s="25" t="s">
        <v>10</v>
      </c>
      <c r="G14" s="25" t="s">
        <v>10</v>
      </c>
      <c r="H14" s="25" t="s">
        <v>10</v>
      </c>
      <c r="I14" s="25" t="s">
        <v>10</v>
      </c>
      <c r="J14" s="25" t="s">
        <v>10</v>
      </c>
      <c r="K14" s="25" t="s">
        <v>10</v>
      </c>
      <c r="L14" s="22">
        <v>38718</v>
      </c>
    </row>
    <row r="15" spans="1:12" ht="15" x14ac:dyDescent="0.2">
      <c r="A15" s="21" t="s">
        <v>22</v>
      </c>
      <c r="B15" s="2" t="s">
        <v>33</v>
      </c>
      <c r="C15" s="21" t="s">
        <v>17</v>
      </c>
      <c r="D15" s="4">
        <f>SUM(1211119+21170)</f>
        <v>1232289</v>
      </c>
      <c r="E15" s="3">
        <v>19</v>
      </c>
      <c r="F15" s="3">
        <v>0</v>
      </c>
      <c r="G15" s="3">
        <v>22</v>
      </c>
      <c r="H15" s="3">
        <v>-3</v>
      </c>
      <c r="I15" s="4">
        <v>1086</v>
      </c>
      <c r="J15" s="3">
        <v>-58.08</v>
      </c>
      <c r="K15" s="3">
        <v>-48.75</v>
      </c>
      <c r="L15" s="22">
        <v>38718</v>
      </c>
    </row>
    <row r="16" spans="1:12" ht="30" x14ac:dyDescent="0.2">
      <c r="A16" s="21" t="s">
        <v>22</v>
      </c>
      <c r="B16" s="2" t="s">
        <v>34</v>
      </c>
      <c r="C16" s="21" t="s">
        <v>35</v>
      </c>
      <c r="D16" s="25" t="s">
        <v>10</v>
      </c>
      <c r="E16" s="25" t="s">
        <v>10</v>
      </c>
      <c r="F16" s="25" t="s">
        <v>10</v>
      </c>
      <c r="G16" s="25" t="s">
        <v>10</v>
      </c>
      <c r="H16" s="25" t="s">
        <v>10</v>
      </c>
      <c r="I16" s="25" t="s">
        <v>10</v>
      </c>
      <c r="J16" s="25" t="s">
        <v>10</v>
      </c>
      <c r="K16" s="25" t="s">
        <v>10</v>
      </c>
      <c r="L16" s="22">
        <v>38718</v>
      </c>
    </row>
    <row r="17" spans="1:12" ht="15" x14ac:dyDescent="0.2">
      <c r="A17" s="21" t="s">
        <v>22</v>
      </c>
      <c r="B17" s="2" t="s">
        <v>36</v>
      </c>
      <c r="C17" s="21" t="s">
        <v>25</v>
      </c>
      <c r="D17" s="4">
        <f>SUM(1112753+36984+63120+68621)</f>
        <v>1281478</v>
      </c>
      <c r="E17" s="3">
        <v>20</v>
      </c>
      <c r="F17" s="3">
        <v>0</v>
      </c>
      <c r="G17" s="3">
        <v>26</v>
      </c>
      <c r="H17" s="3">
        <v>-6</v>
      </c>
      <c r="I17" s="4">
        <v>723</v>
      </c>
      <c r="J17" s="3">
        <v>-2.19</v>
      </c>
      <c r="K17" s="3">
        <v>-2.19</v>
      </c>
      <c r="L17" s="22">
        <v>38718</v>
      </c>
    </row>
    <row r="18" spans="1:12" ht="30" x14ac:dyDescent="0.2">
      <c r="A18" s="21" t="s">
        <v>37</v>
      </c>
      <c r="B18" s="2" t="s">
        <v>173</v>
      </c>
      <c r="C18" s="21" t="s">
        <v>38</v>
      </c>
      <c r="D18" s="4" t="s">
        <v>10</v>
      </c>
      <c r="E18" s="4" t="s">
        <v>10</v>
      </c>
      <c r="F18" s="4" t="s">
        <v>10</v>
      </c>
      <c r="G18" s="4" t="s">
        <v>10</v>
      </c>
      <c r="H18" s="4" t="s">
        <v>10</v>
      </c>
      <c r="I18" s="4" t="s">
        <v>10</v>
      </c>
      <c r="J18" s="4" t="s">
        <v>10</v>
      </c>
      <c r="K18" s="4" t="s">
        <v>10</v>
      </c>
      <c r="L18" s="22">
        <v>38718</v>
      </c>
    </row>
    <row r="19" spans="1:12" ht="15" x14ac:dyDescent="0.2">
      <c r="A19" s="21" t="s">
        <v>37</v>
      </c>
      <c r="B19" s="2" t="s">
        <v>39</v>
      </c>
      <c r="C19" s="21" t="s">
        <v>40</v>
      </c>
      <c r="D19" s="4">
        <f>SUM(280000+91000+2918+2215+265907+174703)</f>
        <v>816743</v>
      </c>
      <c r="E19" s="3">
        <v>30</v>
      </c>
      <c r="F19" s="3">
        <v>0</v>
      </c>
      <c r="G19" s="3">
        <v>24</v>
      </c>
      <c r="H19" s="3">
        <f>E19-G19</f>
        <v>6</v>
      </c>
      <c r="I19" s="4">
        <v>800</v>
      </c>
      <c r="J19" s="3">
        <v>-50.78</v>
      </c>
      <c r="K19" s="3">
        <v>-51.22</v>
      </c>
      <c r="L19" s="22">
        <v>40179</v>
      </c>
    </row>
    <row r="20" spans="1:12" ht="30" x14ac:dyDescent="0.2">
      <c r="A20" s="21" t="s">
        <v>37</v>
      </c>
      <c r="B20" s="2" t="s">
        <v>41</v>
      </c>
      <c r="C20" s="21" t="s">
        <v>42</v>
      </c>
      <c r="D20" s="4" t="s">
        <v>10</v>
      </c>
      <c r="E20" s="4" t="s">
        <v>10</v>
      </c>
      <c r="F20" s="4" t="s">
        <v>10</v>
      </c>
      <c r="G20" s="4" t="s">
        <v>10</v>
      </c>
      <c r="H20" s="4" t="s">
        <v>10</v>
      </c>
      <c r="I20" s="4" t="s">
        <v>10</v>
      </c>
      <c r="J20" s="4" t="s">
        <v>10</v>
      </c>
      <c r="K20" s="4" t="s">
        <v>10</v>
      </c>
      <c r="L20" s="22">
        <v>38718</v>
      </c>
    </row>
    <row r="21" spans="1:12" ht="30" x14ac:dyDescent="0.2">
      <c r="A21" s="21" t="s">
        <v>37</v>
      </c>
      <c r="B21" s="2" t="s">
        <v>174</v>
      </c>
      <c r="C21" s="21" t="s">
        <v>43</v>
      </c>
      <c r="D21" s="4" t="s">
        <v>10</v>
      </c>
      <c r="E21" s="4" t="s">
        <v>10</v>
      </c>
      <c r="F21" s="4" t="s">
        <v>10</v>
      </c>
      <c r="G21" s="4" t="s">
        <v>10</v>
      </c>
      <c r="H21" s="4" t="s">
        <v>10</v>
      </c>
      <c r="I21" s="4" t="s">
        <v>10</v>
      </c>
      <c r="J21" s="4" t="s">
        <v>10</v>
      </c>
      <c r="K21" s="4" t="s">
        <v>10</v>
      </c>
      <c r="L21" s="22">
        <v>38718</v>
      </c>
    </row>
    <row r="22" spans="1:12" ht="30" x14ac:dyDescent="0.2">
      <c r="A22" s="21" t="s">
        <v>37</v>
      </c>
      <c r="B22" s="2" t="s">
        <v>44</v>
      </c>
      <c r="C22" s="21" t="s">
        <v>40</v>
      </c>
      <c r="D22" s="4" t="s">
        <v>10</v>
      </c>
      <c r="E22" s="4" t="s">
        <v>10</v>
      </c>
      <c r="F22" s="4" t="s">
        <v>10</v>
      </c>
      <c r="G22" s="4" t="s">
        <v>10</v>
      </c>
      <c r="H22" s="4" t="s">
        <v>10</v>
      </c>
      <c r="I22" s="4" t="s">
        <v>10</v>
      </c>
      <c r="J22" s="4" t="s">
        <v>10</v>
      </c>
      <c r="K22" s="4" t="s">
        <v>10</v>
      </c>
      <c r="L22" s="22">
        <v>39083</v>
      </c>
    </row>
    <row r="23" spans="1:12" ht="30" x14ac:dyDescent="0.2">
      <c r="A23" s="21" t="s">
        <v>37</v>
      </c>
      <c r="B23" s="2" t="s">
        <v>175</v>
      </c>
      <c r="C23" s="21" t="s">
        <v>45</v>
      </c>
      <c r="D23" s="4" t="s">
        <v>10</v>
      </c>
      <c r="E23" s="4" t="s">
        <v>10</v>
      </c>
      <c r="F23" s="4" t="s">
        <v>10</v>
      </c>
      <c r="G23" s="4" t="s">
        <v>10</v>
      </c>
      <c r="H23" s="4" t="s">
        <v>10</v>
      </c>
      <c r="I23" s="4" t="s">
        <v>10</v>
      </c>
      <c r="J23" s="4" t="s">
        <v>10</v>
      </c>
      <c r="K23" s="4" t="s">
        <v>10</v>
      </c>
      <c r="L23" s="22">
        <v>40544</v>
      </c>
    </row>
    <row r="24" spans="1:12" ht="30" x14ac:dyDescent="0.2">
      <c r="A24" s="21" t="s">
        <v>37</v>
      </c>
      <c r="B24" s="2" t="s">
        <v>46</v>
      </c>
      <c r="C24" s="21" t="s">
        <v>47</v>
      </c>
      <c r="D24" s="4" t="s">
        <v>10</v>
      </c>
      <c r="E24" s="4" t="s">
        <v>10</v>
      </c>
      <c r="F24" s="4" t="s">
        <v>10</v>
      </c>
      <c r="G24" s="4" t="s">
        <v>10</v>
      </c>
      <c r="H24" s="4" t="s">
        <v>10</v>
      </c>
      <c r="I24" s="4" t="s">
        <v>10</v>
      </c>
      <c r="J24" s="4" t="s">
        <v>10</v>
      </c>
      <c r="K24" s="4" t="s">
        <v>10</v>
      </c>
      <c r="L24" s="22">
        <v>39083</v>
      </c>
    </row>
    <row r="25" spans="1:12" ht="30" x14ac:dyDescent="0.2">
      <c r="A25" s="21" t="s">
        <v>37</v>
      </c>
      <c r="B25" s="2" t="s">
        <v>176</v>
      </c>
      <c r="C25" s="21" t="s">
        <v>48</v>
      </c>
      <c r="D25" s="4" t="s">
        <v>10</v>
      </c>
      <c r="E25" s="4" t="s">
        <v>10</v>
      </c>
      <c r="F25" s="4" t="s">
        <v>10</v>
      </c>
      <c r="G25" s="4" t="s">
        <v>10</v>
      </c>
      <c r="H25" s="4" t="s">
        <v>10</v>
      </c>
      <c r="I25" s="4" t="s">
        <v>10</v>
      </c>
      <c r="J25" s="4" t="s">
        <v>10</v>
      </c>
      <c r="K25" s="4" t="s">
        <v>10</v>
      </c>
      <c r="L25" s="22">
        <v>38718</v>
      </c>
    </row>
    <row r="26" spans="1:12" ht="30" x14ac:dyDescent="0.2">
      <c r="A26" s="21" t="s">
        <v>37</v>
      </c>
      <c r="B26" s="2" t="s">
        <v>49</v>
      </c>
      <c r="C26" s="21" t="s">
        <v>40</v>
      </c>
      <c r="D26" s="4" t="s">
        <v>10</v>
      </c>
      <c r="E26" s="4" t="s">
        <v>10</v>
      </c>
      <c r="F26" s="4" t="s">
        <v>10</v>
      </c>
      <c r="G26" s="4" t="s">
        <v>10</v>
      </c>
      <c r="H26" s="4" t="s">
        <v>10</v>
      </c>
      <c r="I26" s="4" t="s">
        <v>10</v>
      </c>
      <c r="J26" s="4" t="s">
        <v>10</v>
      </c>
      <c r="K26" s="4" t="s">
        <v>10</v>
      </c>
      <c r="L26" s="22">
        <v>39083</v>
      </c>
    </row>
    <row r="27" spans="1:12" ht="30" x14ac:dyDescent="0.2">
      <c r="A27" s="21" t="s">
        <v>37</v>
      </c>
      <c r="B27" s="2" t="s">
        <v>50</v>
      </c>
      <c r="C27" s="21" t="s">
        <v>45</v>
      </c>
      <c r="D27" s="4" t="s">
        <v>10</v>
      </c>
      <c r="E27" s="4" t="s">
        <v>10</v>
      </c>
      <c r="F27" s="4" t="s">
        <v>10</v>
      </c>
      <c r="G27" s="4" t="s">
        <v>10</v>
      </c>
      <c r="H27" s="4" t="s">
        <v>10</v>
      </c>
      <c r="I27" s="4" t="s">
        <v>10</v>
      </c>
      <c r="J27" s="4" t="s">
        <v>10</v>
      </c>
      <c r="K27" s="4" t="s">
        <v>10</v>
      </c>
      <c r="L27" s="22">
        <v>38718</v>
      </c>
    </row>
    <row r="28" spans="1:12" ht="15" x14ac:dyDescent="0.2">
      <c r="A28" s="21" t="s">
        <v>51</v>
      </c>
      <c r="B28" s="2" t="s">
        <v>52</v>
      </c>
      <c r="C28" s="21" t="s">
        <v>53</v>
      </c>
      <c r="D28" s="4">
        <f>SUM(3038633+188166+484135+642537+378164+63078)</f>
        <v>4794713</v>
      </c>
      <c r="E28" s="3">
        <v>87</v>
      </c>
      <c r="F28" s="3">
        <v>0</v>
      </c>
      <c r="G28" s="3">
        <v>43</v>
      </c>
      <c r="H28" s="3">
        <v>44</v>
      </c>
      <c r="I28" s="4">
        <v>1135</v>
      </c>
      <c r="J28" s="3">
        <v>105.45</v>
      </c>
      <c r="K28" s="3">
        <v>105.99</v>
      </c>
      <c r="L28" s="22">
        <v>38718</v>
      </c>
    </row>
    <row r="29" spans="1:12" ht="30" x14ac:dyDescent="0.2">
      <c r="A29" s="21" t="s">
        <v>51</v>
      </c>
      <c r="B29" s="2" t="s">
        <v>54</v>
      </c>
      <c r="C29" s="21" t="s">
        <v>55</v>
      </c>
      <c r="D29" s="25" t="s">
        <v>10</v>
      </c>
      <c r="E29" s="25" t="s">
        <v>10</v>
      </c>
      <c r="F29" s="25" t="s">
        <v>10</v>
      </c>
      <c r="G29" s="25" t="s">
        <v>10</v>
      </c>
      <c r="H29" s="25" t="s">
        <v>10</v>
      </c>
      <c r="I29" s="25" t="s">
        <v>10</v>
      </c>
      <c r="J29" s="25" t="s">
        <v>10</v>
      </c>
      <c r="K29" s="25" t="s">
        <v>10</v>
      </c>
      <c r="L29" s="22">
        <v>40179</v>
      </c>
    </row>
    <row r="30" spans="1:12" ht="15" x14ac:dyDescent="0.2">
      <c r="A30" s="21" t="s">
        <v>51</v>
      </c>
      <c r="B30" s="2" t="s">
        <v>56</v>
      </c>
      <c r="C30" s="21" t="s">
        <v>57</v>
      </c>
      <c r="D30" s="4">
        <f>SUM(1617230+13713+141648+21737+96430+30255)</f>
        <v>1921013</v>
      </c>
      <c r="E30" s="3">
        <v>28</v>
      </c>
      <c r="F30" s="3">
        <v>0</v>
      </c>
      <c r="G30" s="3">
        <v>8</v>
      </c>
      <c r="H30" s="3">
        <v>20</v>
      </c>
      <c r="I30" s="4">
        <v>983</v>
      </c>
      <c r="J30" s="3">
        <v>52.27</v>
      </c>
      <c r="K30" s="3">
        <v>64.63</v>
      </c>
      <c r="L30" s="22">
        <v>39814</v>
      </c>
    </row>
    <row r="31" spans="1:12" ht="15" x14ac:dyDescent="0.2">
      <c r="A31" s="21" t="s">
        <v>51</v>
      </c>
      <c r="B31" s="2" t="s">
        <v>58</v>
      </c>
      <c r="C31" s="21" t="s">
        <v>59</v>
      </c>
      <c r="D31" s="4">
        <f>SUM(188300+108010+60741+15725)</f>
        <v>372776</v>
      </c>
      <c r="E31" s="3">
        <v>16</v>
      </c>
      <c r="F31" s="3">
        <v>0</v>
      </c>
      <c r="G31" s="3">
        <v>18</v>
      </c>
      <c r="H31" s="3">
        <v>-2</v>
      </c>
      <c r="I31" s="4">
        <v>500</v>
      </c>
      <c r="J31" s="3">
        <v>-79.52</v>
      </c>
      <c r="K31" s="3">
        <v>-77.25</v>
      </c>
      <c r="L31" s="22">
        <v>38718</v>
      </c>
    </row>
    <row r="32" spans="1:12" ht="30" x14ac:dyDescent="0.2">
      <c r="A32" s="21" t="s">
        <v>51</v>
      </c>
      <c r="B32" s="2" t="s">
        <v>60</v>
      </c>
      <c r="C32" s="21" t="s">
        <v>61</v>
      </c>
      <c r="D32" s="25" t="s">
        <v>10</v>
      </c>
      <c r="E32" s="25" t="s">
        <v>10</v>
      </c>
      <c r="F32" s="25" t="s">
        <v>10</v>
      </c>
      <c r="G32" s="25" t="s">
        <v>10</v>
      </c>
      <c r="H32" s="25" t="s">
        <v>10</v>
      </c>
      <c r="I32" s="25" t="s">
        <v>10</v>
      </c>
      <c r="J32" s="25" t="s">
        <v>10</v>
      </c>
      <c r="K32" s="25" t="s">
        <v>10</v>
      </c>
      <c r="L32" s="22">
        <v>38718</v>
      </c>
    </row>
    <row r="33" spans="1:12" ht="30" x14ac:dyDescent="0.2">
      <c r="A33" s="21" t="s">
        <v>51</v>
      </c>
      <c r="B33" s="2" t="s">
        <v>62</v>
      </c>
      <c r="C33" s="21" t="s">
        <v>63</v>
      </c>
      <c r="D33" s="25" t="s">
        <v>10</v>
      </c>
      <c r="E33" s="25" t="s">
        <v>10</v>
      </c>
      <c r="F33" s="25" t="s">
        <v>10</v>
      </c>
      <c r="G33" s="25" t="s">
        <v>10</v>
      </c>
      <c r="H33" s="25" t="s">
        <v>10</v>
      </c>
      <c r="I33" s="25" t="s">
        <v>10</v>
      </c>
      <c r="J33" s="25" t="s">
        <v>10</v>
      </c>
      <c r="K33" s="25" t="s">
        <v>10</v>
      </c>
      <c r="L33" s="22">
        <v>38718</v>
      </c>
    </row>
    <row r="34" spans="1:12" ht="30" x14ac:dyDescent="0.2">
      <c r="A34" s="21" t="s">
        <v>64</v>
      </c>
      <c r="B34" s="2" t="s">
        <v>65</v>
      </c>
      <c r="C34" s="21" t="s">
        <v>66</v>
      </c>
      <c r="D34" s="25" t="s">
        <v>10</v>
      </c>
      <c r="E34" s="25" t="s">
        <v>10</v>
      </c>
      <c r="F34" s="25" t="s">
        <v>10</v>
      </c>
      <c r="G34" s="25" t="s">
        <v>10</v>
      </c>
      <c r="H34" s="25" t="s">
        <v>10</v>
      </c>
      <c r="I34" s="25" t="s">
        <v>10</v>
      </c>
      <c r="J34" s="25" t="s">
        <v>10</v>
      </c>
      <c r="K34" s="25" t="s">
        <v>10</v>
      </c>
      <c r="L34" s="22">
        <v>40544</v>
      </c>
    </row>
    <row r="35" spans="1:12" ht="30" x14ac:dyDescent="0.2">
      <c r="A35" s="21" t="s">
        <v>64</v>
      </c>
      <c r="B35" s="2" t="s">
        <v>67</v>
      </c>
      <c r="C35" s="21" t="s">
        <v>35</v>
      </c>
      <c r="D35" s="25" t="s">
        <v>10</v>
      </c>
      <c r="E35" s="25" t="s">
        <v>10</v>
      </c>
      <c r="F35" s="25" t="s">
        <v>10</v>
      </c>
      <c r="G35" s="25" t="s">
        <v>10</v>
      </c>
      <c r="H35" s="25" t="s">
        <v>10</v>
      </c>
      <c r="I35" s="25" t="s">
        <v>10</v>
      </c>
      <c r="J35" s="25" t="s">
        <v>10</v>
      </c>
      <c r="K35" s="25" t="s">
        <v>10</v>
      </c>
      <c r="L35" s="22">
        <v>38718</v>
      </c>
    </row>
    <row r="36" spans="1:12" ht="15" x14ac:dyDescent="0.2">
      <c r="A36" s="21" t="s">
        <v>64</v>
      </c>
      <c r="B36" s="2" t="s">
        <v>68</v>
      </c>
      <c r="C36" s="21" t="s">
        <v>9</v>
      </c>
      <c r="D36" s="4">
        <f>SUM(159356+729739.21+6212+10388)</f>
        <v>905695.21</v>
      </c>
      <c r="E36" s="3">
        <v>8</v>
      </c>
      <c r="F36" s="3">
        <v>0</v>
      </c>
      <c r="G36" s="3">
        <v>18</v>
      </c>
      <c r="H36" s="3">
        <v>-10</v>
      </c>
      <c r="I36" s="4" t="s">
        <v>19</v>
      </c>
      <c r="J36" s="3">
        <v>-55.1</v>
      </c>
      <c r="K36" s="3">
        <v>451.8</v>
      </c>
      <c r="L36" s="22">
        <v>38718</v>
      </c>
    </row>
    <row r="37" spans="1:12" ht="30" x14ac:dyDescent="0.2">
      <c r="A37" s="21" t="s">
        <v>64</v>
      </c>
      <c r="B37" s="2" t="s">
        <v>69</v>
      </c>
      <c r="C37" s="21" t="s">
        <v>9</v>
      </c>
      <c r="D37" s="4" t="s">
        <v>10</v>
      </c>
      <c r="E37" s="4" t="s">
        <v>10</v>
      </c>
      <c r="F37" s="4" t="s">
        <v>10</v>
      </c>
      <c r="G37" s="4" t="s">
        <v>10</v>
      </c>
      <c r="H37" s="4" t="s">
        <v>10</v>
      </c>
      <c r="I37" s="4" t="s">
        <v>10</v>
      </c>
      <c r="J37" s="4" t="s">
        <v>10</v>
      </c>
      <c r="K37" s="4" t="s">
        <v>10</v>
      </c>
      <c r="L37" s="22">
        <v>39448</v>
      </c>
    </row>
    <row r="38" spans="1:12" ht="15" x14ac:dyDescent="0.2">
      <c r="A38" s="21" t="s">
        <v>64</v>
      </c>
      <c r="B38" s="2" t="s">
        <v>177</v>
      </c>
      <c r="C38" s="21" t="s">
        <v>70</v>
      </c>
      <c r="D38" s="4">
        <f>SUM(216000+135000+58677+3465+61799+263+52436+7768+68000+42662+1400+57960+52100)</f>
        <v>757530</v>
      </c>
      <c r="E38" s="3">
        <v>5</v>
      </c>
      <c r="F38" s="3">
        <v>0</v>
      </c>
      <c r="G38" s="3">
        <v>7</v>
      </c>
      <c r="H38" s="3">
        <v>-2</v>
      </c>
      <c r="I38" s="4">
        <v>900</v>
      </c>
      <c r="J38" s="3">
        <v>37.590000000000003</v>
      </c>
      <c r="K38" s="3">
        <v>0.01</v>
      </c>
      <c r="L38" s="22">
        <v>38718</v>
      </c>
    </row>
    <row r="39" spans="1:12" ht="30" x14ac:dyDescent="0.2">
      <c r="A39" s="21" t="s">
        <v>64</v>
      </c>
      <c r="B39" s="2" t="s">
        <v>71</v>
      </c>
      <c r="C39" s="21" t="s">
        <v>9</v>
      </c>
      <c r="D39" s="4" t="s">
        <v>10</v>
      </c>
      <c r="E39" s="4" t="s">
        <v>10</v>
      </c>
      <c r="F39" s="4" t="s">
        <v>10</v>
      </c>
      <c r="G39" s="4" t="s">
        <v>10</v>
      </c>
      <c r="H39" s="4" t="s">
        <v>10</v>
      </c>
      <c r="I39" s="4" t="s">
        <v>10</v>
      </c>
      <c r="J39" s="4" t="s">
        <v>10</v>
      </c>
      <c r="K39" s="4" t="s">
        <v>10</v>
      </c>
      <c r="L39" s="22">
        <v>39448</v>
      </c>
    </row>
    <row r="40" spans="1:12" ht="15" x14ac:dyDescent="0.2">
      <c r="A40" s="21" t="s">
        <v>64</v>
      </c>
      <c r="B40" s="2" t="s">
        <v>72</v>
      </c>
      <c r="C40" s="21" t="s">
        <v>35</v>
      </c>
      <c r="D40" s="4">
        <f>223202+211700+137000+47000+268468+6150+19520.94</f>
        <v>913040.94</v>
      </c>
      <c r="E40" s="3">
        <v>17</v>
      </c>
      <c r="F40" s="3">
        <v>0</v>
      </c>
      <c r="G40" s="3">
        <v>43</v>
      </c>
      <c r="H40" s="3">
        <v>-26</v>
      </c>
      <c r="I40" s="4">
        <v>880</v>
      </c>
      <c r="J40" s="3">
        <v>-84.72</v>
      </c>
      <c r="K40" s="3">
        <v>-84.72</v>
      </c>
      <c r="L40" s="22">
        <v>38718</v>
      </c>
    </row>
    <row r="41" spans="1:12" ht="30" x14ac:dyDescent="0.2">
      <c r="A41" s="21" t="s">
        <v>64</v>
      </c>
      <c r="B41" s="2" t="s">
        <v>73</v>
      </c>
      <c r="C41" s="21" t="s">
        <v>66</v>
      </c>
      <c r="D41" s="4" t="s">
        <v>10</v>
      </c>
      <c r="E41" s="4" t="s">
        <v>10</v>
      </c>
      <c r="F41" s="4" t="s">
        <v>10</v>
      </c>
      <c r="G41" s="4" t="s">
        <v>10</v>
      </c>
      <c r="H41" s="4" t="s">
        <v>10</v>
      </c>
      <c r="I41" s="4" t="s">
        <v>10</v>
      </c>
      <c r="J41" s="4" t="s">
        <v>10</v>
      </c>
      <c r="K41" s="4" t="s">
        <v>10</v>
      </c>
      <c r="L41" s="22">
        <v>38718</v>
      </c>
    </row>
    <row r="42" spans="1:12" ht="30" x14ac:dyDescent="0.2">
      <c r="A42" s="21" t="s">
        <v>74</v>
      </c>
      <c r="B42" s="2" t="s">
        <v>75</v>
      </c>
      <c r="C42" s="21" t="s">
        <v>76</v>
      </c>
      <c r="D42" s="4">
        <f>18539+12620</f>
        <v>31159</v>
      </c>
      <c r="E42" s="3">
        <v>3</v>
      </c>
      <c r="F42" s="3">
        <v>0</v>
      </c>
      <c r="G42" s="3">
        <v>5</v>
      </c>
      <c r="H42" s="3">
        <v>-2</v>
      </c>
      <c r="I42" s="4">
        <v>640</v>
      </c>
      <c r="J42" s="3">
        <v>-35.58</v>
      </c>
      <c r="K42" s="3">
        <v>-31.13</v>
      </c>
      <c r="L42" s="22">
        <v>39083</v>
      </c>
    </row>
    <row r="43" spans="1:12" ht="30" x14ac:dyDescent="0.2">
      <c r="A43" s="21" t="s">
        <v>74</v>
      </c>
      <c r="B43" s="2" t="s">
        <v>77</v>
      </c>
      <c r="C43" s="21" t="s">
        <v>78</v>
      </c>
      <c r="D43" s="4">
        <f>SUM(258963+149212+82219+16600)</f>
        <v>506994</v>
      </c>
      <c r="E43" s="3">
        <v>11</v>
      </c>
      <c r="F43" s="3">
        <v>0</v>
      </c>
      <c r="G43" s="3">
        <v>11</v>
      </c>
      <c r="H43" s="3">
        <v>0</v>
      </c>
      <c r="I43" s="4">
        <v>600</v>
      </c>
      <c r="J43" s="3">
        <v>25.9</v>
      </c>
      <c r="K43" s="3">
        <v>29.9</v>
      </c>
      <c r="L43" s="22">
        <v>39083</v>
      </c>
    </row>
    <row r="44" spans="1:12" ht="30" x14ac:dyDescent="0.2">
      <c r="A44" s="21" t="s">
        <v>74</v>
      </c>
      <c r="B44" s="2" t="s">
        <v>79</v>
      </c>
      <c r="C44" s="21" t="s">
        <v>80</v>
      </c>
      <c r="D44" s="4" t="s">
        <v>10</v>
      </c>
      <c r="E44" s="4" t="s">
        <v>10</v>
      </c>
      <c r="F44" s="4" t="s">
        <v>10</v>
      </c>
      <c r="G44" s="4" t="s">
        <v>10</v>
      </c>
      <c r="H44" s="4" t="s">
        <v>10</v>
      </c>
      <c r="I44" s="4" t="s">
        <v>10</v>
      </c>
      <c r="J44" s="4" t="s">
        <v>10</v>
      </c>
      <c r="K44" s="4" t="s">
        <v>10</v>
      </c>
      <c r="L44" s="22">
        <v>39814</v>
      </c>
    </row>
    <row r="45" spans="1:12" ht="15" x14ac:dyDescent="0.2">
      <c r="A45" s="21" t="s">
        <v>74</v>
      </c>
      <c r="B45" s="2" t="s">
        <v>178</v>
      </c>
      <c r="C45" s="21" t="s">
        <v>81</v>
      </c>
      <c r="D45" s="4">
        <f>534367+99453+138860</f>
        <v>772680</v>
      </c>
      <c r="E45" s="3">
        <v>11</v>
      </c>
      <c r="F45" s="3">
        <v>0</v>
      </c>
      <c r="G45" s="3">
        <v>15</v>
      </c>
      <c r="H45" s="3">
        <v>-4</v>
      </c>
      <c r="I45" s="4">
        <v>0</v>
      </c>
      <c r="J45" s="3">
        <v>-73.72</v>
      </c>
      <c r="K45" s="3">
        <v>-74.84</v>
      </c>
      <c r="L45" s="22">
        <v>39083</v>
      </c>
    </row>
    <row r="46" spans="1:12" ht="15" x14ac:dyDescent="0.2">
      <c r="A46" s="21" t="s">
        <v>74</v>
      </c>
      <c r="B46" s="2" t="s">
        <v>179</v>
      </c>
      <c r="C46" s="21" t="s">
        <v>78</v>
      </c>
      <c r="D46" s="4">
        <f>81417+105000</f>
        <v>186417</v>
      </c>
      <c r="E46" s="3">
        <v>8</v>
      </c>
      <c r="F46" s="3">
        <v>0</v>
      </c>
      <c r="G46" s="3">
        <v>15</v>
      </c>
      <c r="H46" s="3">
        <v>-7</v>
      </c>
      <c r="I46" s="4">
        <v>0</v>
      </c>
      <c r="J46" s="3">
        <v>17.239999999999998</v>
      </c>
      <c r="K46" s="3">
        <v>4.05</v>
      </c>
      <c r="L46" s="22">
        <v>39448</v>
      </c>
    </row>
    <row r="47" spans="1:12" ht="30" x14ac:dyDescent="0.2">
      <c r="A47" s="21" t="s">
        <v>74</v>
      </c>
      <c r="B47" s="2" t="s">
        <v>82</v>
      </c>
      <c r="C47" s="21" t="s">
        <v>83</v>
      </c>
      <c r="D47" s="4" t="s">
        <v>10</v>
      </c>
      <c r="E47" s="4" t="s">
        <v>10</v>
      </c>
      <c r="F47" s="4" t="s">
        <v>10</v>
      </c>
      <c r="G47" s="4" t="s">
        <v>10</v>
      </c>
      <c r="H47" s="4" t="s">
        <v>10</v>
      </c>
      <c r="I47" s="4" t="s">
        <v>10</v>
      </c>
      <c r="J47" s="4" t="s">
        <v>10</v>
      </c>
      <c r="K47" s="4" t="s">
        <v>10</v>
      </c>
      <c r="L47" s="22">
        <v>40544</v>
      </c>
    </row>
    <row r="48" spans="1:12" ht="15" x14ac:dyDescent="0.2">
      <c r="A48" s="21" t="s">
        <v>74</v>
      </c>
      <c r="B48" s="2" t="s">
        <v>84</v>
      </c>
      <c r="C48" s="21" t="s">
        <v>81</v>
      </c>
      <c r="D48" s="4">
        <f>1050000+5318640+87156+17488+115798.39+165594.57+725280.71</f>
        <v>7479957.6699999999</v>
      </c>
      <c r="E48" s="3">
        <v>35</v>
      </c>
      <c r="F48" s="3">
        <v>0</v>
      </c>
      <c r="G48" s="3">
        <v>30</v>
      </c>
      <c r="H48" s="3">
        <v>5</v>
      </c>
      <c r="I48" s="4">
        <v>748</v>
      </c>
      <c r="J48" s="3">
        <v>7736.39</v>
      </c>
      <c r="K48" s="3">
        <v>516.29</v>
      </c>
      <c r="L48" s="22">
        <v>39083</v>
      </c>
    </row>
    <row r="49" spans="1:12" ht="15" x14ac:dyDescent="0.2">
      <c r="A49" s="21" t="s">
        <v>85</v>
      </c>
      <c r="B49" s="2" t="s">
        <v>86</v>
      </c>
      <c r="C49" s="21" t="s">
        <v>21</v>
      </c>
      <c r="D49" s="4">
        <v>6651944</v>
      </c>
      <c r="E49" s="3">
        <v>56</v>
      </c>
      <c r="F49" s="3">
        <v>0</v>
      </c>
      <c r="G49" s="3">
        <v>68</v>
      </c>
      <c r="H49" s="3">
        <v>-12</v>
      </c>
      <c r="I49" s="4">
        <v>0</v>
      </c>
      <c r="J49" s="3" t="s">
        <v>19</v>
      </c>
      <c r="K49" s="3" t="s">
        <v>19</v>
      </c>
      <c r="L49" s="22">
        <v>39448</v>
      </c>
    </row>
    <row r="50" spans="1:12" ht="30" x14ac:dyDescent="0.2">
      <c r="A50" s="21" t="s">
        <v>85</v>
      </c>
      <c r="B50" s="2" t="s">
        <v>87</v>
      </c>
      <c r="C50" s="21" t="s">
        <v>9</v>
      </c>
      <c r="D50" s="4" t="s">
        <v>10</v>
      </c>
      <c r="E50" s="4" t="s">
        <v>10</v>
      </c>
      <c r="F50" s="4" t="s">
        <v>10</v>
      </c>
      <c r="G50" s="4" t="s">
        <v>10</v>
      </c>
      <c r="H50" s="4" t="s">
        <v>10</v>
      </c>
      <c r="I50" s="4" t="s">
        <v>10</v>
      </c>
      <c r="J50" s="4" t="s">
        <v>10</v>
      </c>
      <c r="K50" s="4" t="s">
        <v>10</v>
      </c>
      <c r="L50" s="22">
        <v>39814</v>
      </c>
    </row>
    <row r="51" spans="1:12" ht="30" x14ac:dyDescent="0.2">
      <c r="A51" s="21" t="s">
        <v>85</v>
      </c>
      <c r="B51" s="2" t="s">
        <v>88</v>
      </c>
      <c r="C51" s="21" t="s">
        <v>9</v>
      </c>
      <c r="D51" s="4" t="s">
        <v>10</v>
      </c>
      <c r="E51" s="4" t="s">
        <v>10</v>
      </c>
      <c r="F51" s="4" t="s">
        <v>10</v>
      </c>
      <c r="G51" s="4" t="s">
        <v>10</v>
      </c>
      <c r="H51" s="4" t="s">
        <v>10</v>
      </c>
      <c r="I51" s="4" t="s">
        <v>10</v>
      </c>
      <c r="J51" s="4" t="s">
        <v>10</v>
      </c>
      <c r="K51" s="4" t="s">
        <v>10</v>
      </c>
      <c r="L51" s="22">
        <v>39448</v>
      </c>
    </row>
    <row r="52" spans="1:12" ht="30" x14ac:dyDescent="0.2">
      <c r="A52" s="21" t="s">
        <v>85</v>
      </c>
      <c r="B52" s="2" t="s">
        <v>180</v>
      </c>
      <c r="C52" s="21" t="s">
        <v>89</v>
      </c>
      <c r="D52" s="4" t="s">
        <v>10</v>
      </c>
      <c r="E52" s="4" t="s">
        <v>10</v>
      </c>
      <c r="F52" s="4" t="s">
        <v>10</v>
      </c>
      <c r="G52" s="4" t="s">
        <v>10</v>
      </c>
      <c r="H52" s="4" t="s">
        <v>10</v>
      </c>
      <c r="I52" s="4" t="s">
        <v>10</v>
      </c>
      <c r="J52" s="4" t="s">
        <v>10</v>
      </c>
      <c r="K52" s="4" t="s">
        <v>10</v>
      </c>
      <c r="L52" s="22">
        <v>39448</v>
      </c>
    </row>
    <row r="53" spans="1:12" ht="30" x14ac:dyDescent="0.2">
      <c r="A53" s="21" t="s">
        <v>85</v>
      </c>
      <c r="B53" s="2" t="s">
        <v>90</v>
      </c>
      <c r="C53" s="21" t="s">
        <v>91</v>
      </c>
      <c r="D53" s="4" t="s">
        <v>10</v>
      </c>
      <c r="E53" s="4" t="s">
        <v>10</v>
      </c>
      <c r="F53" s="4" t="s">
        <v>10</v>
      </c>
      <c r="G53" s="4" t="s">
        <v>10</v>
      </c>
      <c r="H53" s="4" t="s">
        <v>10</v>
      </c>
      <c r="I53" s="4" t="s">
        <v>10</v>
      </c>
      <c r="J53" s="4" t="s">
        <v>10</v>
      </c>
      <c r="K53" s="4" t="s">
        <v>10</v>
      </c>
      <c r="L53" s="22">
        <v>39448</v>
      </c>
    </row>
    <row r="54" spans="1:12" ht="15" x14ac:dyDescent="0.2">
      <c r="A54" s="21" t="s">
        <v>85</v>
      </c>
      <c r="B54" s="2" t="s">
        <v>92</v>
      </c>
      <c r="C54" s="21" t="s">
        <v>93</v>
      </c>
      <c r="D54" s="4">
        <f>SUM(42104+16163)</f>
        <v>58267</v>
      </c>
      <c r="E54" s="3">
        <v>0</v>
      </c>
      <c r="F54" s="3">
        <v>50</v>
      </c>
      <c r="G54" s="3">
        <v>0</v>
      </c>
      <c r="H54" s="3">
        <v>-50</v>
      </c>
      <c r="I54" s="4">
        <v>0</v>
      </c>
      <c r="J54" s="3">
        <v>-28.79</v>
      </c>
      <c r="K54" s="3">
        <v>-25.56</v>
      </c>
      <c r="L54" s="22">
        <v>39448</v>
      </c>
    </row>
    <row r="55" spans="1:12" ht="15" x14ac:dyDescent="0.2">
      <c r="A55" s="21" t="s">
        <v>85</v>
      </c>
      <c r="B55" s="2" t="s">
        <v>94</v>
      </c>
      <c r="C55" s="21" t="s">
        <v>9</v>
      </c>
      <c r="D55" s="4">
        <f>345766+6114+36738.79</f>
        <v>388618.79</v>
      </c>
      <c r="E55" s="3">
        <v>8</v>
      </c>
      <c r="F55" s="3">
        <v>0</v>
      </c>
      <c r="G55" s="3">
        <v>19</v>
      </c>
      <c r="H55" s="3">
        <v>-11</v>
      </c>
      <c r="I55" s="4">
        <v>0</v>
      </c>
      <c r="J55" s="3">
        <v>-28.42</v>
      </c>
      <c r="K55" s="3">
        <v>-1.05</v>
      </c>
      <c r="L55" s="22">
        <v>39448</v>
      </c>
    </row>
    <row r="56" spans="1:12" ht="15" x14ac:dyDescent="0.2">
      <c r="A56" s="21" t="s">
        <v>85</v>
      </c>
      <c r="B56" s="2" t="s">
        <v>95</v>
      </c>
      <c r="C56" s="21" t="s">
        <v>93</v>
      </c>
      <c r="D56" s="4">
        <f>SUM(553629+7429.78+116609.82+14936+30696+19906)</f>
        <v>743206.60000000009</v>
      </c>
      <c r="E56" s="3">
        <v>28</v>
      </c>
      <c r="F56" s="3">
        <v>0</v>
      </c>
      <c r="G56" s="3">
        <v>48</v>
      </c>
      <c r="H56" s="3">
        <f>E56-G56</f>
        <v>-20</v>
      </c>
      <c r="I56" s="4">
        <v>0</v>
      </c>
      <c r="J56" s="3">
        <v>-61.09</v>
      </c>
      <c r="K56" s="3">
        <v>-59.59</v>
      </c>
      <c r="L56" s="22">
        <v>39448</v>
      </c>
    </row>
    <row r="57" spans="1:12" ht="15" x14ac:dyDescent="0.2">
      <c r="A57" s="21" t="s">
        <v>96</v>
      </c>
      <c r="B57" s="2" t="s">
        <v>181</v>
      </c>
      <c r="C57" s="21" t="s">
        <v>97</v>
      </c>
      <c r="D57" s="4">
        <v>0</v>
      </c>
      <c r="E57" s="3">
        <v>6</v>
      </c>
      <c r="F57" s="3">
        <v>0</v>
      </c>
      <c r="G57" s="3">
        <v>15</v>
      </c>
      <c r="H57" s="3">
        <v>-9</v>
      </c>
      <c r="I57" s="4">
        <v>811</v>
      </c>
      <c r="J57" s="3">
        <v>-11.18</v>
      </c>
      <c r="K57" s="3">
        <v>-9.8000000000000007</v>
      </c>
      <c r="L57" s="22">
        <v>39448</v>
      </c>
    </row>
    <row r="58" spans="1:12" ht="15" x14ac:dyDescent="0.2">
      <c r="A58" s="21" t="s">
        <v>98</v>
      </c>
      <c r="B58" s="2" t="s">
        <v>182</v>
      </c>
      <c r="C58" s="21" t="s">
        <v>9</v>
      </c>
      <c r="D58" s="4">
        <f>SUM(666271+26545+90000+86286+13850)</f>
        <v>882952</v>
      </c>
      <c r="E58" s="3">
        <v>17</v>
      </c>
      <c r="F58" s="3">
        <v>0</v>
      </c>
      <c r="G58" s="3">
        <v>14</v>
      </c>
      <c r="H58" s="3">
        <v>3</v>
      </c>
      <c r="I58" s="4">
        <v>880</v>
      </c>
      <c r="J58" s="3">
        <v>-52.24</v>
      </c>
      <c r="K58" s="3">
        <v>-42.7</v>
      </c>
      <c r="L58" s="22">
        <v>39083</v>
      </c>
    </row>
    <row r="59" spans="1:12" ht="30" x14ac:dyDescent="0.2">
      <c r="A59" s="21" t="s">
        <v>98</v>
      </c>
      <c r="B59" s="2" t="s">
        <v>99</v>
      </c>
      <c r="C59" s="21" t="s">
        <v>100</v>
      </c>
      <c r="D59" s="4" t="s">
        <v>10</v>
      </c>
      <c r="E59" s="4" t="s">
        <v>10</v>
      </c>
      <c r="F59" s="4" t="s">
        <v>10</v>
      </c>
      <c r="G59" s="4" t="s">
        <v>10</v>
      </c>
      <c r="H59" s="4" t="s">
        <v>10</v>
      </c>
      <c r="I59" s="4" t="s">
        <v>10</v>
      </c>
      <c r="J59" s="4" t="s">
        <v>10</v>
      </c>
      <c r="K59" s="4" t="s">
        <v>10</v>
      </c>
      <c r="L59" s="22">
        <v>40544</v>
      </c>
    </row>
    <row r="60" spans="1:12" ht="15" x14ac:dyDescent="0.2">
      <c r="A60" s="21" t="s">
        <v>101</v>
      </c>
      <c r="B60" s="2" t="s">
        <v>102</v>
      </c>
      <c r="C60" s="21" t="s">
        <v>103</v>
      </c>
      <c r="D60" s="4">
        <v>0</v>
      </c>
      <c r="E60" s="3">
        <v>1</v>
      </c>
      <c r="F60" s="3">
        <v>0</v>
      </c>
      <c r="G60" s="3">
        <v>18</v>
      </c>
      <c r="H60" s="3">
        <v>-17</v>
      </c>
      <c r="I60" s="4">
        <v>1346</v>
      </c>
      <c r="J60" s="3">
        <v>-31.17</v>
      </c>
      <c r="K60" s="3">
        <v>-1</v>
      </c>
      <c r="L60" s="22">
        <v>40544</v>
      </c>
    </row>
    <row r="61" spans="1:12" ht="15" x14ac:dyDescent="0.2">
      <c r="A61" s="21" t="s">
        <v>101</v>
      </c>
      <c r="B61" s="2" t="s">
        <v>104</v>
      </c>
      <c r="C61" s="21" t="s">
        <v>105</v>
      </c>
      <c r="D61" s="4">
        <v>122536</v>
      </c>
      <c r="E61" s="3">
        <v>20</v>
      </c>
      <c r="F61" s="3">
        <v>0</v>
      </c>
      <c r="G61" s="3">
        <v>10</v>
      </c>
      <c r="H61" s="3">
        <v>10</v>
      </c>
      <c r="I61" s="4">
        <v>900</v>
      </c>
      <c r="J61" s="3">
        <v>-39.85</v>
      </c>
      <c r="K61" s="3">
        <v>-18.489999999999998</v>
      </c>
      <c r="L61" s="22">
        <v>40544</v>
      </c>
    </row>
    <row r="62" spans="1:12" ht="15" x14ac:dyDescent="0.2">
      <c r="A62" s="21" t="s">
        <v>101</v>
      </c>
      <c r="B62" s="2" t="s">
        <v>183</v>
      </c>
      <c r="C62" s="21" t="s">
        <v>93</v>
      </c>
      <c r="D62" s="4">
        <f>SUM(8010208+1056156.73+404255.42+444641.39)</f>
        <v>9915261.540000001</v>
      </c>
      <c r="E62" s="3">
        <v>111</v>
      </c>
      <c r="F62" s="3">
        <v>0</v>
      </c>
      <c r="G62" s="3">
        <v>106</v>
      </c>
      <c r="H62" s="3">
        <f>E62-G62</f>
        <v>5</v>
      </c>
      <c r="I62" s="4">
        <v>815</v>
      </c>
      <c r="J62" s="3">
        <v>-43.44</v>
      </c>
      <c r="K62" s="3">
        <v>-43.44</v>
      </c>
      <c r="L62" s="22">
        <v>40544</v>
      </c>
    </row>
    <row r="63" spans="1:12" ht="15" x14ac:dyDescent="0.2">
      <c r="A63" s="21" t="s">
        <v>101</v>
      </c>
      <c r="B63" s="2" t="s">
        <v>106</v>
      </c>
      <c r="C63" s="21" t="s">
        <v>107</v>
      </c>
      <c r="D63" s="4">
        <f>2053167.83+619818</f>
        <v>2672985.83</v>
      </c>
      <c r="E63" s="3">
        <v>46</v>
      </c>
      <c r="F63" s="3">
        <v>0</v>
      </c>
      <c r="G63" s="3">
        <v>23</v>
      </c>
      <c r="H63" s="3">
        <v>23</v>
      </c>
      <c r="I63" s="4" t="s">
        <v>19</v>
      </c>
      <c r="J63" s="3">
        <v>-80.61</v>
      </c>
      <c r="K63" s="3">
        <v>-81.540000000000006</v>
      </c>
      <c r="L63" s="22">
        <v>40544</v>
      </c>
    </row>
    <row r="64" spans="1:12" ht="30" x14ac:dyDescent="0.2">
      <c r="A64" s="21" t="s">
        <v>108</v>
      </c>
      <c r="B64" s="23" t="s">
        <v>184</v>
      </c>
      <c r="C64" s="21" t="s">
        <v>109</v>
      </c>
      <c r="D64" s="25" t="s">
        <v>10</v>
      </c>
      <c r="E64" s="25" t="s">
        <v>10</v>
      </c>
      <c r="F64" s="25" t="s">
        <v>10</v>
      </c>
      <c r="G64" s="25" t="s">
        <v>10</v>
      </c>
      <c r="H64" s="25" t="s">
        <v>10</v>
      </c>
      <c r="I64" s="25" t="s">
        <v>10</v>
      </c>
      <c r="J64" s="25" t="s">
        <v>10</v>
      </c>
      <c r="K64" s="25" t="s">
        <v>10</v>
      </c>
      <c r="L64" s="22">
        <v>38718</v>
      </c>
    </row>
    <row r="65" spans="1:12" ht="30" x14ac:dyDescent="0.2">
      <c r="A65" s="21" t="s">
        <v>108</v>
      </c>
      <c r="B65" s="2" t="s">
        <v>185</v>
      </c>
      <c r="C65" s="21" t="s">
        <v>110</v>
      </c>
      <c r="D65" s="25" t="s">
        <v>10</v>
      </c>
      <c r="E65" s="25" t="s">
        <v>10</v>
      </c>
      <c r="F65" s="25" t="s">
        <v>10</v>
      </c>
      <c r="G65" s="25" t="s">
        <v>10</v>
      </c>
      <c r="H65" s="25" t="s">
        <v>10</v>
      </c>
      <c r="I65" s="25" t="s">
        <v>10</v>
      </c>
      <c r="J65" s="25" t="s">
        <v>10</v>
      </c>
      <c r="K65" s="25" t="s">
        <v>10</v>
      </c>
      <c r="L65" s="22">
        <v>38718</v>
      </c>
    </row>
    <row r="66" spans="1:12" ht="15" x14ac:dyDescent="0.2">
      <c r="A66" s="21" t="s">
        <v>108</v>
      </c>
      <c r="B66" s="2" t="s">
        <v>186</v>
      </c>
      <c r="C66" s="21" t="s">
        <v>111</v>
      </c>
      <c r="D66" s="4">
        <f>SUM(2222371+38639+195151.76+91276+41372.46)</f>
        <v>2588810.2199999997</v>
      </c>
      <c r="E66" s="3">
        <v>13</v>
      </c>
      <c r="F66" s="3">
        <v>0</v>
      </c>
      <c r="G66" s="3">
        <v>14</v>
      </c>
      <c r="H66" s="3">
        <v>-1</v>
      </c>
      <c r="I66" s="4">
        <v>500</v>
      </c>
      <c r="J66" s="3">
        <v>46.46</v>
      </c>
      <c r="K66" s="3">
        <v>-32.619999999999997</v>
      </c>
      <c r="L66" s="22">
        <v>38718</v>
      </c>
    </row>
    <row r="67" spans="1:12" ht="15" x14ac:dyDescent="0.2">
      <c r="A67" s="21" t="s">
        <v>108</v>
      </c>
      <c r="B67" s="2" t="s">
        <v>187</v>
      </c>
      <c r="C67" s="21" t="s">
        <v>112</v>
      </c>
      <c r="D67" s="4">
        <f>SUM(3240586+37811.29+273669.81+13083.5)</f>
        <v>3565150.6</v>
      </c>
      <c r="E67" s="3">
        <v>24</v>
      </c>
      <c r="F67" s="3">
        <v>8</v>
      </c>
      <c r="G67" s="3">
        <v>16</v>
      </c>
      <c r="H67" s="3">
        <v>0</v>
      </c>
      <c r="I67" s="4">
        <v>1154</v>
      </c>
      <c r="J67" s="3">
        <v>-51.42</v>
      </c>
      <c r="K67" s="3">
        <v>-51.71</v>
      </c>
      <c r="L67" s="22">
        <v>38718</v>
      </c>
    </row>
    <row r="68" spans="1:12" ht="15" x14ac:dyDescent="0.2">
      <c r="A68" s="21" t="s">
        <v>108</v>
      </c>
      <c r="B68" s="2" t="s">
        <v>188</v>
      </c>
      <c r="C68" s="21" t="s">
        <v>113</v>
      </c>
      <c r="D68" s="4">
        <f>SUM(4130839+84725+1047967+197248.26+96629.45)</f>
        <v>5557408.71</v>
      </c>
      <c r="E68" s="3">
        <v>92</v>
      </c>
      <c r="F68" s="3">
        <v>1</v>
      </c>
      <c r="G68" s="3">
        <v>30</v>
      </c>
      <c r="H68" s="3">
        <f>E68-F68-G68</f>
        <v>61</v>
      </c>
      <c r="I68" s="4">
        <v>1150</v>
      </c>
      <c r="J68" s="3">
        <v>19.62</v>
      </c>
      <c r="K68" s="3">
        <v>59.74</v>
      </c>
      <c r="L68" s="22">
        <v>38718</v>
      </c>
    </row>
    <row r="69" spans="1:12" ht="15" x14ac:dyDescent="0.2">
      <c r="A69" s="21" t="s">
        <v>108</v>
      </c>
      <c r="B69" s="2" t="s">
        <v>114</v>
      </c>
      <c r="C69" s="21" t="s">
        <v>115</v>
      </c>
      <c r="D69" s="4">
        <f>SUM(203417.92+59000+7758)</f>
        <v>270175.92000000004</v>
      </c>
      <c r="E69" s="3">
        <v>6</v>
      </c>
      <c r="F69" s="3">
        <v>0</v>
      </c>
      <c r="G69" s="3">
        <v>4</v>
      </c>
      <c r="H69" s="3">
        <v>2</v>
      </c>
      <c r="I69" s="4">
        <v>950</v>
      </c>
      <c r="J69" s="3">
        <v>-29.43</v>
      </c>
      <c r="K69" s="3">
        <v>-31.39</v>
      </c>
      <c r="L69" s="22">
        <v>38718</v>
      </c>
    </row>
    <row r="70" spans="1:12" ht="15" x14ac:dyDescent="0.2">
      <c r="A70" s="21" t="s">
        <v>108</v>
      </c>
      <c r="B70" s="2" t="s">
        <v>189</v>
      </c>
      <c r="C70" s="21" t="s">
        <v>13</v>
      </c>
      <c r="D70" s="4">
        <f>SUM(107341+3811150+677391.24+423382.34+695271.45+539690+75336+1733407+189631+1022043+36665)</f>
        <v>9311308.0300000012</v>
      </c>
      <c r="E70" s="3">
        <v>73</v>
      </c>
      <c r="F70" s="3">
        <v>0</v>
      </c>
      <c r="G70" s="3">
        <v>18</v>
      </c>
      <c r="H70" s="3">
        <v>55</v>
      </c>
      <c r="I70" s="4">
        <v>1154</v>
      </c>
      <c r="J70" s="3">
        <v>55.77</v>
      </c>
      <c r="K70" s="3">
        <v>58.42</v>
      </c>
      <c r="L70" s="22">
        <v>38718</v>
      </c>
    </row>
    <row r="71" spans="1:12" ht="30" x14ac:dyDescent="0.2">
      <c r="A71" s="21" t="s">
        <v>108</v>
      </c>
      <c r="B71" s="2" t="s">
        <v>190</v>
      </c>
      <c r="C71" s="21" t="s">
        <v>13</v>
      </c>
      <c r="D71" s="4" t="s">
        <v>10</v>
      </c>
      <c r="E71" s="4" t="s">
        <v>10</v>
      </c>
      <c r="F71" s="4" t="s">
        <v>10</v>
      </c>
      <c r="G71" s="4" t="s">
        <v>10</v>
      </c>
      <c r="H71" s="4" t="s">
        <v>10</v>
      </c>
      <c r="I71" s="4" t="s">
        <v>10</v>
      </c>
      <c r="J71" s="4" t="s">
        <v>10</v>
      </c>
      <c r="K71" s="4" t="s">
        <v>10</v>
      </c>
      <c r="L71" s="22">
        <v>38718</v>
      </c>
    </row>
    <row r="72" spans="1:12" ht="15" x14ac:dyDescent="0.2">
      <c r="A72" s="21" t="s">
        <v>108</v>
      </c>
      <c r="B72" s="2" t="s">
        <v>116</v>
      </c>
      <c r="C72" s="21" t="s">
        <v>117</v>
      </c>
      <c r="D72" s="4">
        <f>SUM(181305+13530.3+387165)</f>
        <v>582000.30000000005</v>
      </c>
      <c r="E72" s="3">
        <v>7</v>
      </c>
      <c r="F72" s="3">
        <v>0</v>
      </c>
      <c r="G72" s="3">
        <v>18</v>
      </c>
      <c r="H72" s="3">
        <v>-11</v>
      </c>
      <c r="I72" s="4">
        <v>0</v>
      </c>
      <c r="J72" s="3">
        <v>-45.95</v>
      </c>
      <c r="K72" s="3">
        <v>-45.94</v>
      </c>
      <c r="L72" s="22">
        <v>38718</v>
      </c>
    </row>
    <row r="73" spans="1:12" ht="15" x14ac:dyDescent="0.2">
      <c r="A73" s="21" t="s">
        <v>108</v>
      </c>
      <c r="B73" s="2" t="s">
        <v>191</v>
      </c>
      <c r="C73" s="21" t="s">
        <v>118</v>
      </c>
      <c r="D73" s="4">
        <f>SUM(1244965+118790+3015552+148502+252791)</f>
        <v>4780600</v>
      </c>
      <c r="E73" s="3">
        <v>12</v>
      </c>
      <c r="F73" s="3">
        <v>0</v>
      </c>
      <c r="G73" s="3">
        <v>6</v>
      </c>
      <c r="H73" s="3">
        <v>6</v>
      </c>
      <c r="I73" s="4" t="s">
        <v>19</v>
      </c>
      <c r="J73" s="3">
        <v>-60.65</v>
      </c>
      <c r="K73" s="3">
        <v>-56.85</v>
      </c>
      <c r="L73" s="22">
        <v>38718</v>
      </c>
    </row>
    <row r="74" spans="1:12" ht="30" x14ac:dyDescent="0.2">
      <c r="A74" s="21" t="s">
        <v>119</v>
      </c>
      <c r="B74" s="2" t="s">
        <v>120</v>
      </c>
      <c r="C74" s="21" t="s">
        <v>78</v>
      </c>
      <c r="D74" s="4" t="s">
        <v>10</v>
      </c>
      <c r="E74" s="4" t="s">
        <v>10</v>
      </c>
      <c r="F74" s="4" t="s">
        <v>10</v>
      </c>
      <c r="G74" s="4" t="s">
        <v>10</v>
      </c>
      <c r="H74" s="4" t="s">
        <v>10</v>
      </c>
      <c r="I74" s="4" t="s">
        <v>10</v>
      </c>
      <c r="J74" s="4" t="s">
        <v>10</v>
      </c>
      <c r="K74" s="4" t="s">
        <v>10</v>
      </c>
      <c r="L74" s="22">
        <v>39448</v>
      </c>
    </row>
    <row r="75" spans="1:12" ht="30" x14ac:dyDescent="0.2">
      <c r="A75" s="21" t="s">
        <v>121</v>
      </c>
      <c r="B75" s="2" t="s">
        <v>122</v>
      </c>
      <c r="C75" s="21" t="s">
        <v>123</v>
      </c>
      <c r="D75" s="4" t="s">
        <v>10</v>
      </c>
      <c r="E75" s="4" t="s">
        <v>10</v>
      </c>
      <c r="F75" s="4" t="s">
        <v>10</v>
      </c>
      <c r="G75" s="4" t="s">
        <v>10</v>
      </c>
      <c r="H75" s="4" t="s">
        <v>10</v>
      </c>
      <c r="I75" s="4" t="s">
        <v>10</v>
      </c>
      <c r="J75" s="4" t="s">
        <v>10</v>
      </c>
      <c r="K75" s="4" t="s">
        <v>10</v>
      </c>
      <c r="L75" s="22">
        <v>39083</v>
      </c>
    </row>
    <row r="76" spans="1:12" ht="15" x14ac:dyDescent="0.2">
      <c r="A76" s="21" t="s">
        <v>124</v>
      </c>
      <c r="B76" s="2" t="s">
        <v>192</v>
      </c>
      <c r="C76" s="21" t="s">
        <v>125</v>
      </c>
      <c r="D76" s="4">
        <v>10192.59</v>
      </c>
      <c r="E76" s="3">
        <v>7</v>
      </c>
      <c r="F76" s="3">
        <v>0</v>
      </c>
      <c r="G76" s="3">
        <v>6</v>
      </c>
      <c r="H76" s="3">
        <v>1</v>
      </c>
      <c r="I76" s="4" t="s">
        <v>19</v>
      </c>
      <c r="J76" s="4" t="s">
        <v>19</v>
      </c>
      <c r="K76" s="4" t="s">
        <v>19</v>
      </c>
      <c r="L76" s="22">
        <v>38718</v>
      </c>
    </row>
    <row r="77" spans="1:12" ht="30" x14ac:dyDescent="0.2">
      <c r="A77" s="21" t="s">
        <v>124</v>
      </c>
      <c r="B77" s="2" t="s">
        <v>126</v>
      </c>
      <c r="C77" s="21" t="s">
        <v>38</v>
      </c>
      <c r="D77" s="4" t="s">
        <v>10</v>
      </c>
      <c r="E77" s="4" t="s">
        <v>10</v>
      </c>
      <c r="F77" s="4" t="s">
        <v>10</v>
      </c>
      <c r="G77" s="4" t="s">
        <v>10</v>
      </c>
      <c r="H77" s="4" t="s">
        <v>10</v>
      </c>
      <c r="I77" s="4" t="s">
        <v>10</v>
      </c>
      <c r="J77" s="4" t="s">
        <v>10</v>
      </c>
      <c r="K77" s="4" t="s">
        <v>10</v>
      </c>
      <c r="L77" s="22">
        <v>38718</v>
      </c>
    </row>
    <row r="78" spans="1:12" ht="30" x14ac:dyDescent="0.2">
      <c r="A78" s="21" t="s">
        <v>124</v>
      </c>
      <c r="B78" s="2" t="s">
        <v>127</v>
      </c>
      <c r="C78" s="21" t="s">
        <v>128</v>
      </c>
      <c r="D78" s="4" t="s">
        <v>10</v>
      </c>
      <c r="E78" s="4" t="s">
        <v>10</v>
      </c>
      <c r="F78" s="4" t="s">
        <v>10</v>
      </c>
      <c r="G78" s="4" t="s">
        <v>10</v>
      </c>
      <c r="H78" s="4" t="s">
        <v>10</v>
      </c>
      <c r="I78" s="4" t="s">
        <v>10</v>
      </c>
      <c r="J78" s="4" t="s">
        <v>10</v>
      </c>
      <c r="K78" s="4" t="s">
        <v>10</v>
      </c>
      <c r="L78" s="22">
        <v>38718</v>
      </c>
    </row>
    <row r="79" spans="1:12" ht="15" x14ac:dyDescent="0.2">
      <c r="A79" s="21" t="s">
        <v>124</v>
      </c>
      <c r="B79" s="2" t="s">
        <v>193</v>
      </c>
      <c r="C79" s="21" t="s">
        <v>129</v>
      </c>
      <c r="D79" s="4">
        <f>SUM(604577+56306+2217+121938.94)</f>
        <v>785038.94</v>
      </c>
      <c r="E79" s="3">
        <v>16</v>
      </c>
      <c r="F79" s="3">
        <v>0</v>
      </c>
      <c r="G79" s="3">
        <v>15</v>
      </c>
      <c r="H79" s="3">
        <v>1</v>
      </c>
      <c r="I79" s="4">
        <v>810</v>
      </c>
      <c r="J79" s="3">
        <v>6.77</v>
      </c>
      <c r="K79" s="3">
        <v>31.96</v>
      </c>
      <c r="L79" s="22">
        <v>38718</v>
      </c>
    </row>
    <row r="80" spans="1:12" ht="30" x14ac:dyDescent="0.2">
      <c r="A80" s="21" t="s">
        <v>124</v>
      </c>
      <c r="B80" s="2" t="s">
        <v>130</v>
      </c>
      <c r="C80" s="21" t="s">
        <v>131</v>
      </c>
      <c r="D80" s="4" t="s">
        <v>10</v>
      </c>
      <c r="E80" s="4" t="s">
        <v>10</v>
      </c>
      <c r="F80" s="4" t="s">
        <v>10</v>
      </c>
      <c r="G80" s="4" t="s">
        <v>10</v>
      </c>
      <c r="H80" s="4" t="s">
        <v>10</v>
      </c>
      <c r="I80" s="4" t="s">
        <v>10</v>
      </c>
      <c r="J80" s="4" t="s">
        <v>10</v>
      </c>
      <c r="K80" s="4" t="s">
        <v>10</v>
      </c>
      <c r="L80" s="22">
        <v>38718</v>
      </c>
    </row>
    <row r="81" spans="1:12" ht="30" x14ac:dyDescent="0.2">
      <c r="A81" s="21" t="s">
        <v>124</v>
      </c>
      <c r="B81" s="2" t="s">
        <v>132</v>
      </c>
      <c r="C81" s="21" t="s">
        <v>133</v>
      </c>
      <c r="D81" s="4" t="s">
        <v>10</v>
      </c>
      <c r="E81" s="4" t="s">
        <v>10</v>
      </c>
      <c r="F81" s="4" t="s">
        <v>10</v>
      </c>
      <c r="G81" s="4" t="s">
        <v>10</v>
      </c>
      <c r="H81" s="4" t="s">
        <v>10</v>
      </c>
      <c r="I81" s="4" t="s">
        <v>10</v>
      </c>
      <c r="J81" s="4" t="s">
        <v>10</v>
      </c>
      <c r="K81" s="4" t="s">
        <v>10</v>
      </c>
      <c r="L81" s="22">
        <v>38718</v>
      </c>
    </row>
    <row r="82" spans="1:12" ht="30" x14ac:dyDescent="0.2">
      <c r="A82" s="21" t="s">
        <v>124</v>
      </c>
      <c r="B82" s="2" t="s">
        <v>134</v>
      </c>
      <c r="C82" s="21" t="s">
        <v>133</v>
      </c>
      <c r="D82" s="4" t="s">
        <v>10</v>
      </c>
      <c r="E82" s="4" t="s">
        <v>10</v>
      </c>
      <c r="F82" s="4" t="s">
        <v>10</v>
      </c>
      <c r="G82" s="4" t="s">
        <v>10</v>
      </c>
      <c r="H82" s="4" t="s">
        <v>10</v>
      </c>
      <c r="I82" s="4" t="s">
        <v>10</v>
      </c>
      <c r="J82" s="4" t="s">
        <v>10</v>
      </c>
      <c r="K82" s="4" t="s">
        <v>10</v>
      </c>
      <c r="L82" s="22">
        <v>38718</v>
      </c>
    </row>
    <row r="83" spans="1:12" ht="15" x14ac:dyDescent="0.2">
      <c r="A83" s="21" t="s">
        <v>124</v>
      </c>
      <c r="B83" s="2" t="s">
        <v>135</v>
      </c>
      <c r="C83" s="21" t="s">
        <v>136</v>
      </c>
      <c r="D83" s="4">
        <f>SUM(608246+227167.36)</f>
        <v>835413.36</v>
      </c>
      <c r="E83" s="3">
        <v>26</v>
      </c>
      <c r="F83" s="3">
        <v>0</v>
      </c>
      <c r="G83" s="3">
        <v>23</v>
      </c>
      <c r="H83" s="3">
        <v>3</v>
      </c>
      <c r="I83" s="4">
        <v>1200</v>
      </c>
      <c r="J83" s="3">
        <v>-57.72</v>
      </c>
      <c r="K83" s="3">
        <v>-50.04</v>
      </c>
      <c r="L83" s="22">
        <v>38718</v>
      </c>
    </row>
    <row r="84" spans="1:12" ht="15" x14ac:dyDescent="0.2">
      <c r="A84" s="21" t="s">
        <v>124</v>
      </c>
      <c r="B84" s="2" t="s">
        <v>194</v>
      </c>
      <c r="C84" s="21" t="s">
        <v>131</v>
      </c>
      <c r="D84" s="4">
        <f>SUM(2733643+28023+9363+69714+506250+14362)</f>
        <v>3361355</v>
      </c>
      <c r="E84" s="3">
        <v>21</v>
      </c>
      <c r="F84" s="3">
        <v>0</v>
      </c>
      <c r="G84" s="3">
        <v>28</v>
      </c>
      <c r="H84" s="3">
        <v>-7</v>
      </c>
      <c r="I84" s="4">
        <v>4800</v>
      </c>
      <c r="J84" s="3">
        <v>-28.44</v>
      </c>
      <c r="K84" s="3">
        <v>-21.86</v>
      </c>
      <c r="L84" s="22">
        <v>38718</v>
      </c>
    </row>
    <row r="85" spans="1:12" ht="15" x14ac:dyDescent="0.2">
      <c r="A85" s="21" t="s">
        <v>124</v>
      </c>
      <c r="B85" s="2" t="s">
        <v>195</v>
      </c>
      <c r="C85" s="21" t="s">
        <v>137</v>
      </c>
      <c r="D85" s="4">
        <f>SUM(310400+86544+10000+10000)</f>
        <v>416944</v>
      </c>
      <c r="E85" s="3">
        <v>6</v>
      </c>
      <c r="F85" s="3">
        <v>0</v>
      </c>
      <c r="G85" s="3">
        <v>5</v>
      </c>
      <c r="H85" s="3">
        <v>1</v>
      </c>
      <c r="I85" s="4">
        <v>1000</v>
      </c>
      <c r="J85" s="3">
        <v>2.33</v>
      </c>
      <c r="K85" s="3">
        <v>-31.19</v>
      </c>
      <c r="L85" s="22">
        <v>38718</v>
      </c>
    </row>
    <row r="86" spans="1:12" ht="30" x14ac:dyDescent="0.2">
      <c r="A86" s="21" t="s">
        <v>138</v>
      </c>
      <c r="B86" s="2" t="s">
        <v>139</v>
      </c>
      <c r="C86" s="21" t="s">
        <v>140</v>
      </c>
      <c r="D86" s="25" t="s">
        <v>10</v>
      </c>
      <c r="E86" s="25" t="s">
        <v>10</v>
      </c>
      <c r="F86" s="25" t="s">
        <v>10</v>
      </c>
      <c r="G86" s="25" t="s">
        <v>10</v>
      </c>
      <c r="H86" s="25" t="s">
        <v>10</v>
      </c>
      <c r="I86" s="25" t="s">
        <v>10</v>
      </c>
      <c r="J86" s="25" t="s">
        <v>10</v>
      </c>
      <c r="K86" s="25" t="s">
        <v>10</v>
      </c>
      <c r="L86" s="22">
        <v>40179</v>
      </c>
    </row>
    <row r="87" spans="1:12" ht="15" x14ac:dyDescent="0.2">
      <c r="A87" s="21" t="s">
        <v>138</v>
      </c>
      <c r="B87" s="2" t="s">
        <v>196</v>
      </c>
      <c r="C87" s="21" t="s">
        <v>141</v>
      </c>
      <c r="D87" s="4">
        <f>SUM(14575747+325702+350.278+24857)</f>
        <v>14926656.278000001</v>
      </c>
      <c r="E87" s="3">
        <v>111</v>
      </c>
      <c r="F87" s="3">
        <v>0</v>
      </c>
      <c r="G87" s="3">
        <v>69</v>
      </c>
      <c r="H87" s="3">
        <f>E87-G87</f>
        <v>42</v>
      </c>
      <c r="I87" s="4">
        <v>974</v>
      </c>
      <c r="J87" s="3">
        <v>-22.23</v>
      </c>
      <c r="K87" s="3">
        <v>-16.27</v>
      </c>
      <c r="L87" s="22">
        <v>40544</v>
      </c>
    </row>
    <row r="88" spans="1:12" ht="15" x14ac:dyDescent="0.2">
      <c r="A88" s="21" t="s">
        <v>138</v>
      </c>
      <c r="B88" s="2" t="s">
        <v>197</v>
      </c>
      <c r="C88" s="21" t="s">
        <v>113</v>
      </c>
      <c r="D88" s="4">
        <f>SUM(20224646+182700+1258464+1020512+1796511+151875+3685238)</f>
        <v>28319946</v>
      </c>
      <c r="E88" s="3">
        <v>169</v>
      </c>
      <c r="F88" s="3">
        <v>0</v>
      </c>
      <c r="G88" s="3">
        <v>130</v>
      </c>
      <c r="H88" s="3">
        <v>39</v>
      </c>
      <c r="I88" s="4">
        <v>900</v>
      </c>
      <c r="J88" s="3">
        <v>-47.3</v>
      </c>
      <c r="K88" s="3">
        <v>-39.200000000000003</v>
      </c>
      <c r="L88" s="22">
        <v>40179</v>
      </c>
    </row>
    <row r="89" spans="1:12" ht="15" x14ac:dyDescent="0.2">
      <c r="A89" s="21" t="s">
        <v>138</v>
      </c>
      <c r="B89" s="2" t="s">
        <v>142</v>
      </c>
      <c r="C89" s="21" t="s">
        <v>143</v>
      </c>
      <c r="D89" s="4">
        <f>SUM(1175086+8600+9557+277485.96+121498)</f>
        <v>1592226.96</v>
      </c>
      <c r="E89" s="3">
        <v>24</v>
      </c>
      <c r="F89" s="3">
        <v>0</v>
      </c>
      <c r="G89" s="3">
        <v>22</v>
      </c>
      <c r="H89" s="3">
        <v>2</v>
      </c>
      <c r="I89" s="4">
        <v>930</v>
      </c>
      <c r="J89" s="3">
        <v>-37.520000000000003</v>
      </c>
      <c r="K89" s="3">
        <v>-34.58</v>
      </c>
      <c r="L89" s="22">
        <v>40179</v>
      </c>
    </row>
    <row r="90" spans="1:12" ht="15" x14ac:dyDescent="0.2">
      <c r="A90" s="21" t="s">
        <v>138</v>
      </c>
      <c r="B90" s="2" t="s">
        <v>198</v>
      </c>
      <c r="C90" s="21" t="s">
        <v>9</v>
      </c>
      <c r="D90" s="4">
        <f>SUM(9638277+161903+7790)</f>
        <v>9807970</v>
      </c>
      <c r="E90" s="3">
        <v>63</v>
      </c>
      <c r="F90" s="3">
        <v>0</v>
      </c>
      <c r="G90" s="3">
        <v>48</v>
      </c>
      <c r="H90" s="3">
        <v>15</v>
      </c>
      <c r="I90" s="4">
        <v>1285</v>
      </c>
      <c r="J90" s="3">
        <v>-43.33</v>
      </c>
      <c r="K90" s="3">
        <v>-16.600000000000001</v>
      </c>
      <c r="L90" s="22">
        <v>40544</v>
      </c>
    </row>
    <row r="91" spans="1:12" ht="30" x14ac:dyDescent="0.2">
      <c r="A91" s="21" t="s">
        <v>138</v>
      </c>
      <c r="B91" s="2" t="s">
        <v>144</v>
      </c>
      <c r="C91" s="21" t="s">
        <v>47</v>
      </c>
      <c r="D91" s="4" t="s">
        <v>10</v>
      </c>
      <c r="E91" s="4" t="s">
        <v>10</v>
      </c>
      <c r="F91" s="4" t="s">
        <v>10</v>
      </c>
      <c r="G91" s="4" t="s">
        <v>10</v>
      </c>
      <c r="H91" s="4" t="s">
        <v>10</v>
      </c>
      <c r="I91" s="4" t="s">
        <v>10</v>
      </c>
      <c r="J91" s="4" t="s">
        <v>10</v>
      </c>
      <c r="K91" s="4" t="s">
        <v>10</v>
      </c>
      <c r="L91" s="22">
        <v>40179</v>
      </c>
    </row>
    <row r="92" spans="1:12" ht="30" x14ac:dyDescent="0.2">
      <c r="A92" s="21" t="s">
        <v>138</v>
      </c>
      <c r="B92" s="2" t="s">
        <v>145</v>
      </c>
      <c r="C92" s="21" t="s">
        <v>131</v>
      </c>
      <c r="D92" s="4" t="s">
        <v>10</v>
      </c>
      <c r="E92" s="4" t="s">
        <v>10</v>
      </c>
      <c r="F92" s="4" t="s">
        <v>10</v>
      </c>
      <c r="G92" s="4" t="s">
        <v>10</v>
      </c>
      <c r="H92" s="4" t="s">
        <v>10</v>
      </c>
      <c r="I92" s="4" t="s">
        <v>10</v>
      </c>
      <c r="J92" s="4" t="s">
        <v>10</v>
      </c>
      <c r="K92" s="4" t="s">
        <v>10</v>
      </c>
      <c r="L92" s="22">
        <v>40179</v>
      </c>
    </row>
    <row r="93" spans="1:12" ht="15" x14ac:dyDescent="0.2">
      <c r="A93" s="21" t="s">
        <v>138</v>
      </c>
      <c r="B93" s="2" t="s">
        <v>146</v>
      </c>
      <c r="C93" s="21" t="s">
        <v>118</v>
      </c>
      <c r="D93" s="4">
        <f>SUM(3340942+9493+30608+2310+10323)</f>
        <v>3393676</v>
      </c>
      <c r="E93" s="3">
        <v>49</v>
      </c>
      <c r="F93" s="3">
        <v>0</v>
      </c>
      <c r="G93" s="3">
        <v>37</v>
      </c>
      <c r="H93" s="3">
        <v>12</v>
      </c>
      <c r="I93" s="4">
        <v>1200</v>
      </c>
      <c r="J93" s="3">
        <v>-50.36</v>
      </c>
      <c r="K93" s="3" t="s">
        <v>19</v>
      </c>
      <c r="L93" s="22">
        <v>40179</v>
      </c>
    </row>
    <row r="94" spans="1:12" ht="15" x14ac:dyDescent="0.2">
      <c r="A94" s="21" t="s">
        <v>138</v>
      </c>
      <c r="B94" s="2" t="s">
        <v>147</v>
      </c>
      <c r="C94" s="21" t="s">
        <v>118</v>
      </c>
      <c r="D94" s="4">
        <f>SUM(6594283+336416.49+157070+262433+205681)</f>
        <v>7555883.4900000002</v>
      </c>
      <c r="E94" s="3">
        <v>70</v>
      </c>
      <c r="F94" s="3">
        <v>12</v>
      </c>
      <c r="G94" s="3">
        <v>101</v>
      </c>
      <c r="H94" s="3">
        <f>E94-F94-G94</f>
        <v>-43</v>
      </c>
      <c r="I94" s="4">
        <v>935</v>
      </c>
      <c r="J94" s="3">
        <v>-58.26</v>
      </c>
      <c r="K94" s="3">
        <v>-53.26</v>
      </c>
      <c r="L94" s="22">
        <v>40179</v>
      </c>
    </row>
    <row r="95" spans="1:12" ht="30" x14ac:dyDescent="0.2">
      <c r="A95" s="21" t="s">
        <v>148</v>
      </c>
      <c r="B95" s="2" t="s">
        <v>199</v>
      </c>
      <c r="C95" s="21" t="s">
        <v>149</v>
      </c>
      <c r="D95" s="4" t="s">
        <v>10</v>
      </c>
      <c r="E95" s="4" t="s">
        <v>10</v>
      </c>
      <c r="F95" s="4" t="s">
        <v>10</v>
      </c>
      <c r="G95" s="4" t="s">
        <v>10</v>
      </c>
      <c r="H95" s="4" t="s">
        <v>10</v>
      </c>
      <c r="I95" s="4" t="s">
        <v>10</v>
      </c>
      <c r="J95" s="4" t="s">
        <v>10</v>
      </c>
      <c r="K95" s="4" t="s">
        <v>10</v>
      </c>
      <c r="L95" s="22">
        <v>40179</v>
      </c>
    </row>
    <row r="96" spans="1:12" ht="30" x14ac:dyDescent="0.2">
      <c r="A96" s="21" t="s">
        <v>150</v>
      </c>
      <c r="B96" s="2" t="s">
        <v>151</v>
      </c>
      <c r="C96" s="21" t="s">
        <v>118</v>
      </c>
      <c r="D96" s="4" t="s">
        <v>10</v>
      </c>
      <c r="E96" s="4" t="s">
        <v>10</v>
      </c>
      <c r="F96" s="4" t="s">
        <v>10</v>
      </c>
      <c r="G96" s="4" t="s">
        <v>10</v>
      </c>
      <c r="H96" s="4" t="s">
        <v>10</v>
      </c>
      <c r="I96" s="4" t="s">
        <v>10</v>
      </c>
      <c r="J96" s="4" t="s">
        <v>10</v>
      </c>
      <c r="K96" s="4" t="s">
        <v>10</v>
      </c>
      <c r="L96" s="22">
        <v>39083</v>
      </c>
    </row>
    <row r="97" spans="1:12" ht="30" x14ac:dyDescent="0.2">
      <c r="A97" s="21" t="s">
        <v>150</v>
      </c>
      <c r="B97" s="2" t="s">
        <v>200</v>
      </c>
      <c r="C97" s="21" t="s">
        <v>118</v>
      </c>
      <c r="D97" s="4" t="s">
        <v>10</v>
      </c>
      <c r="E97" s="4" t="s">
        <v>10</v>
      </c>
      <c r="F97" s="4" t="s">
        <v>10</v>
      </c>
      <c r="G97" s="4" t="s">
        <v>10</v>
      </c>
      <c r="H97" s="4" t="s">
        <v>10</v>
      </c>
      <c r="I97" s="4" t="s">
        <v>10</v>
      </c>
      <c r="J97" s="4" t="s">
        <v>10</v>
      </c>
      <c r="K97" s="4" t="s">
        <v>10</v>
      </c>
      <c r="L97" s="22">
        <v>39083</v>
      </c>
    </row>
    <row r="98" spans="1:12" ht="15" x14ac:dyDescent="0.2">
      <c r="A98" s="21" t="s">
        <v>150</v>
      </c>
      <c r="B98" s="2" t="s">
        <v>152</v>
      </c>
      <c r="C98" s="21" t="s">
        <v>153</v>
      </c>
      <c r="D98" s="4">
        <v>0</v>
      </c>
      <c r="E98" s="3">
        <v>2</v>
      </c>
      <c r="F98" s="3">
        <v>0</v>
      </c>
      <c r="G98" s="3">
        <v>3</v>
      </c>
      <c r="H98" s="3">
        <v>-1</v>
      </c>
      <c r="I98" s="4">
        <v>500</v>
      </c>
      <c r="J98" s="3">
        <v>0.18</v>
      </c>
      <c r="K98" s="3">
        <v>5.33</v>
      </c>
      <c r="L98" s="22">
        <v>39083</v>
      </c>
    </row>
    <row r="99" spans="1:12" ht="30" x14ac:dyDescent="0.2">
      <c r="A99" s="21" t="s">
        <v>154</v>
      </c>
      <c r="B99" s="2" t="s">
        <v>155</v>
      </c>
      <c r="C99" s="21" t="s">
        <v>76</v>
      </c>
      <c r="D99" s="4" t="s">
        <v>10</v>
      </c>
      <c r="E99" s="4" t="s">
        <v>10</v>
      </c>
      <c r="F99" s="4" t="s">
        <v>10</v>
      </c>
      <c r="G99" s="4" t="s">
        <v>10</v>
      </c>
      <c r="H99" s="4" t="s">
        <v>10</v>
      </c>
      <c r="I99" s="4" t="s">
        <v>10</v>
      </c>
      <c r="J99" s="4" t="s">
        <v>10</v>
      </c>
      <c r="K99" s="4" t="s">
        <v>10</v>
      </c>
      <c r="L99" s="22">
        <v>38718</v>
      </c>
    </row>
    <row r="100" spans="1:12" ht="30" x14ac:dyDescent="0.2">
      <c r="A100" s="21" t="s">
        <v>154</v>
      </c>
      <c r="B100" s="2" t="s">
        <v>156</v>
      </c>
      <c r="C100" s="21" t="s">
        <v>76</v>
      </c>
      <c r="D100" s="4" t="s">
        <v>10</v>
      </c>
      <c r="E100" s="4" t="s">
        <v>10</v>
      </c>
      <c r="F100" s="4" t="s">
        <v>10</v>
      </c>
      <c r="G100" s="4" t="s">
        <v>10</v>
      </c>
      <c r="H100" s="4" t="s">
        <v>10</v>
      </c>
      <c r="I100" s="4" t="s">
        <v>10</v>
      </c>
      <c r="J100" s="4" t="s">
        <v>10</v>
      </c>
      <c r="K100" s="4" t="s">
        <v>10</v>
      </c>
      <c r="L100" s="22">
        <v>38718</v>
      </c>
    </row>
    <row r="101" spans="1:12" ht="15" x14ac:dyDescent="0.2">
      <c r="A101" s="21" t="s">
        <v>157</v>
      </c>
      <c r="B101" s="2" t="s">
        <v>158</v>
      </c>
      <c r="C101" s="21" t="s">
        <v>133</v>
      </c>
      <c r="D101" s="4">
        <f>SUM(2801624+321231+121620+76922)</f>
        <v>3321397</v>
      </c>
      <c r="E101" s="3">
        <v>27</v>
      </c>
      <c r="F101" s="3">
        <v>0</v>
      </c>
      <c r="G101" s="3">
        <v>24</v>
      </c>
      <c r="H101" s="3">
        <v>3</v>
      </c>
      <c r="I101" s="4">
        <v>1250</v>
      </c>
      <c r="J101" s="3">
        <v>-54.69</v>
      </c>
      <c r="K101" s="3">
        <v>-55.33</v>
      </c>
      <c r="L101" s="22">
        <v>38718</v>
      </c>
    </row>
    <row r="102" spans="1:12" ht="15" x14ac:dyDescent="0.2">
      <c r="A102" s="21" t="s">
        <v>159</v>
      </c>
      <c r="B102" s="2" t="s">
        <v>201</v>
      </c>
      <c r="C102" s="21" t="s">
        <v>118</v>
      </c>
      <c r="D102" s="4">
        <f>SUM(1000000+300000+1214200+20000+350000+240000)</f>
        <v>3124200</v>
      </c>
      <c r="E102" s="3">
        <v>9</v>
      </c>
      <c r="F102" s="3">
        <v>0</v>
      </c>
      <c r="G102" s="3">
        <v>8</v>
      </c>
      <c r="H102" s="3">
        <v>1</v>
      </c>
      <c r="I102" s="4">
        <v>680</v>
      </c>
      <c r="J102" s="3">
        <v>213.68</v>
      </c>
      <c r="K102" s="3">
        <v>213.69</v>
      </c>
      <c r="L102" s="24">
        <v>38718</v>
      </c>
    </row>
    <row r="103" spans="1:12" ht="30" x14ac:dyDescent="0.2">
      <c r="A103" s="21" t="s">
        <v>159</v>
      </c>
      <c r="B103" s="2" t="s">
        <v>160</v>
      </c>
      <c r="C103" s="21" t="s">
        <v>118</v>
      </c>
      <c r="D103" s="4">
        <f>SUM(2433561+951828.72+33047+50661+24486)</f>
        <v>3493583.7199999997</v>
      </c>
      <c r="E103" s="3">
        <v>43</v>
      </c>
      <c r="F103" s="3">
        <v>0</v>
      </c>
      <c r="G103" s="3">
        <v>12</v>
      </c>
      <c r="H103" s="3">
        <v>31</v>
      </c>
      <c r="I103" s="4">
        <v>1750</v>
      </c>
      <c r="J103" s="3">
        <v>-19.48</v>
      </c>
      <c r="K103" s="3">
        <v>-3.14</v>
      </c>
      <c r="L103" s="24">
        <v>39814</v>
      </c>
    </row>
    <row r="104" spans="1:12" ht="30" x14ac:dyDescent="0.2">
      <c r="A104" s="21" t="s">
        <v>159</v>
      </c>
      <c r="B104" s="2" t="s">
        <v>202</v>
      </c>
      <c r="C104" s="21" t="s">
        <v>118</v>
      </c>
      <c r="D104" s="4" t="s">
        <v>10</v>
      </c>
      <c r="E104" s="4" t="s">
        <v>10</v>
      </c>
      <c r="F104" s="4" t="s">
        <v>10</v>
      </c>
      <c r="G104" s="4" t="s">
        <v>10</v>
      </c>
      <c r="H104" s="4" t="s">
        <v>10</v>
      </c>
      <c r="I104" s="4" t="s">
        <v>10</v>
      </c>
      <c r="J104" s="4" t="s">
        <v>10</v>
      </c>
      <c r="K104" s="4" t="s">
        <v>10</v>
      </c>
      <c r="L104" s="24">
        <v>40180</v>
      </c>
    </row>
    <row r="105" spans="1:12" ht="15" x14ac:dyDescent="0.2">
      <c r="A105" s="21" t="s">
        <v>159</v>
      </c>
      <c r="B105" s="2" t="s">
        <v>161</v>
      </c>
      <c r="C105" s="21" t="s">
        <v>109</v>
      </c>
      <c r="D105" s="4">
        <f>SUM(2001180+17302+328491+333710)</f>
        <v>2680683</v>
      </c>
      <c r="E105" s="3">
        <v>25</v>
      </c>
      <c r="F105" s="3">
        <v>0</v>
      </c>
      <c r="G105" s="3">
        <v>15</v>
      </c>
      <c r="H105" s="3">
        <v>10</v>
      </c>
      <c r="I105" s="4">
        <v>875</v>
      </c>
      <c r="J105" s="3">
        <v>-32.880000000000003</v>
      </c>
      <c r="K105" s="3">
        <v>-32.880000000000003</v>
      </c>
      <c r="L105" s="24">
        <v>38718</v>
      </c>
    </row>
    <row r="106" spans="1:12" ht="15" x14ac:dyDescent="0.2">
      <c r="A106" s="21" t="s">
        <v>159</v>
      </c>
      <c r="B106" s="2" t="s">
        <v>203</v>
      </c>
      <c r="C106" s="21" t="s">
        <v>118</v>
      </c>
      <c r="D106" s="4">
        <f>SUM(196005+148048+22126.07+348505.98+98715.62+38461.02+59725)</f>
        <v>911586.69000000006</v>
      </c>
      <c r="E106" s="3">
        <v>19</v>
      </c>
      <c r="F106" s="3">
        <v>0</v>
      </c>
      <c r="G106" s="3">
        <v>9</v>
      </c>
      <c r="H106" s="3">
        <v>10</v>
      </c>
      <c r="I106" s="4">
        <v>995</v>
      </c>
      <c r="J106" s="3">
        <v>-17.11</v>
      </c>
      <c r="K106" s="3">
        <v>-10.94</v>
      </c>
      <c r="L106" s="24">
        <v>38718</v>
      </c>
    </row>
    <row r="107" spans="1:12" ht="15" x14ac:dyDescent="0.2">
      <c r="A107" s="21" t="s">
        <v>159</v>
      </c>
      <c r="B107" s="2" t="s">
        <v>204</v>
      </c>
      <c r="C107" s="21" t="s">
        <v>162</v>
      </c>
      <c r="D107" s="4">
        <v>550000</v>
      </c>
      <c r="E107" s="3">
        <v>20</v>
      </c>
      <c r="F107" s="3">
        <v>0</v>
      </c>
      <c r="G107" s="3">
        <v>14</v>
      </c>
      <c r="H107" s="3">
        <v>6</v>
      </c>
      <c r="I107" s="4">
        <v>760</v>
      </c>
      <c r="J107" s="3">
        <v>32.86</v>
      </c>
      <c r="K107" s="3">
        <v>42.41</v>
      </c>
      <c r="L107" s="24">
        <v>38718</v>
      </c>
    </row>
    <row r="108" spans="1:12" ht="30" x14ac:dyDescent="0.2">
      <c r="A108" s="21" t="s">
        <v>159</v>
      </c>
      <c r="B108" s="2" t="s">
        <v>163</v>
      </c>
      <c r="C108" s="21" t="s">
        <v>118</v>
      </c>
      <c r="D108" s="4" t="s">
        <v>10</v>
      </c>
      <c r="E108" s="4" t="s">
        <v>10</v>
      </c>
      <c r="F108" s="4" t="s">
        <v>10</v>
      </c>
      <c r="G108" s="4" t="s">
        <v>10</v>
      </c>
      <c r="H108" s="4" t="s">
        <v>10</v>
      </c>
      <c r="I108" s="4" t="s">
        <v>10</v>
      </c>
      <c r="J108" s="4" t="s">
        <v>10</v>
      </c>
      <c r="K108" s="4" t="s">
        <v>10</v>
      </c>
      <c r="L108" s="24">
        <v>38718</v>
      </c>
    </row>
    <row r="109" spans="1:12" ht="15" x14ac:dyDescent="0.2">
      <c r="A109" s="21" t="s">
        <v>164</v>
      </c>
      <c r="B109" s="2" t="s">
        <v>205</v>
      </c>
      <c r="C109" s="21" t="s">
        <v>109</v>
      </c>
      <c r="D109" s="4">
        <f>SUM(6312116+1628106+202703+88583)</f>
        <v>8231508</v>
      </c>
      <c r="E109" s="3">
        <v>48</v>
      </c>
      <c r="F109" s="3">
        <v>0</v>
      </c>
      <c r="G109" s="3">
        <v>53</v>
      </c>
      <c r="H109" s="3">
        <v>-5</v>
      </c>
      <c r="I109" s="4">
        <v>1000</v>
      </c>
      <c r="J109" s="3">
        <v>27.72</v>
      </c>
      <c r="K109" s="3">
        <v>38.31</v>
      </c>
      <c r="L109" s="24">
        <v>39083</v>
      </c>
    </row>
    <row r="110" spans="1:12" x14ac:dyDescent="0.2">
      <c r="A110" s="13"/>
    </row>
  </sheetData>
  <conditionalFormatting sqref="A110 B1:B1048576">
    <cfRule type="duplicateValues" dxfId="1" priority="1"/>
  </conditionalFormatting>
  <conditionalFormatting sqref="B2:B109">
    <cfRule type="duplicateValues" dxfId="0" priority="2"/>
  </conditionalFormatting>
  <hyperlinks>
    <hyperlink ref="B52" r:id="rId1" display="https://medc.my.salesforce.com/0016000000ZLRP4" xr:uid="{9570AE11-2635-4871-B487-C78564BAD792}"/>
  </hyperlinks>
  <printOptions horizontalCentered="1" verticalCentered="1"/>
  <pageMargins left="0.25" right="0.25" top="0.5" bottom="0.6" header="0.3" footer="0.3"/>
  <pageSetup paperSize="17" scale="8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TDs wo RR</vt:lpstr>
      <vt:lpstr>'TDs wo RR'!Print_Area</vt:lpstr>
      <vt:lpstr>'TDs wo RR'!Print_Titles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Mulhall (MEDC)</dc:creator>
  <cp:lastModifiedBy>Childs, Derek (DTMB)</cp:lastModifiedBy>
  <dcterms:created xsi:type="dcterms:W3CDTF">2022-02-18T16:17:13Z</dcterms:created>
  <dcterms:modified xsi:type="dcterms:W3CDTF">2022-02-22T14:19:35Z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2022-02-22T14:19:35Z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f0e90df2-7a57-4f4b-8c6d-c66c16492bee</vt:lpwstr>
  </property>
  <property fmtid="{D5CDD505-2E9C-101B-9397-08002B2CF9AE}" pid="8" name="MSIP_Label_3a2fed65-62e7-46ea-af74-187e0c17143a_ContentBits">
    <vt:lpwstr>0</vt:lpwstr>
  </property>
</Properties>
</file>